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35" yWindow="1185" windowWidth="10470" windowHeight="7605" tabRatio="859"/>
  </bookViews>
  <sheets>
    <sheet name="Recife SEDE" sheetId="1" r:id="rId1"/>
    <sheet name="Recife CEE" sheetId="11" r:id="rId2"/>
    <sheet name="Cabo Sto Agostinho" sheetId="12" r:id="rId3"/>
    <sheet name="Goiana" sheetId="13" r:id="rId4"/>
    <sheet name="Caruaru" sheetId="14" r:id="rId5"/>
    <sheet name="Garanhuns" sheetId="15" r:id="rId6"/>
    <sheet name="Serra Talhada" sheetId="16" r:id="rId7"/>
    <sheet name="Petrolina" sheetId="17" r:id="rId8"/>
    <sheet name="Araripina" sheetId="18" r:id="rId9"/>
    <sheet name="Uniforme" sheetId="4" r:id="rId10"/>
    <sheet name="Resumo" sheetId="10" r:id="rId11"/>
  </sheets>
  <definedNames>
    <definedName name="_xlnm.Print_Area" localSheetId="8">Araripina!$A$2:$E$112</definedName>
    <definedName name="_xlnm.Print_Area" localSheetId="2">'Cabo Sto Agostinho'!$A$2:$E$112</definedName>
    <definedName name="_xlnm.Print_Area" localSheetId="4">Caruaru!$A$2:$E$112</definedName>
    <definedName name="_xlnm.Print_Area" localSheetId="5">Garanhuns!$A$2:$E$112</definedName>
    <definedName name="_xlnm.Print_Area" localSheetId="3">Goiana!$A$2:$E$112</definedName>
    <definedName name="_xlnm.Print_Area" localSheetId="7">Petrolina!$A$2:$E$112</definedName>
    <definedName name="_xlnm.Print_Area" localSheetId="1">'Recife CEE'!$A$2:$E$111</definedName>
    <definedName name="_xlnm.Print_Area" localSheetId="0">'Recife SEDE'!$A$2:$E$111</definedName>
    <definedName name="_xlnm.Print_Area" localSheetId="6">'Serra Talhada'!$A$2:$E$112</definedName>
  </definedNames>
  <calcPr calcId="125725"/>
</workbook>
</file>

<file path=xl/calcChain.xml><?xml version="1.0" encoding="utf-8"?>
<calcChain xmlns="http://schemas.openxmlformats.org/spreadsheetml/2006/main">
  <c r="E30" i="18"/>
  <c r="E29"/>
  <c r="E28"/>
  <c r="E27"/>
  <c r="E26"/>
  <c r="E30" i="17"/>
  <c r="E29"/>
  <c r="E28"/>
  <c r="E27"/>
  <c r="E26"/>
  <c r="E30" i="16"/>
  <c r="E29"/>
  <c r="E28"/>
  <c r="E27"/>
  <c r="E26"/>
  <c r="E30" i="15"/>
  <c r="E29"/>
  <c r="E28"/>
  <c r="E27"/>
  <c r="E26"/>
  <c r="E30" i="14"/>
  <c r="E29"/>
  <c r="E28"/>
  <c r="E27"/>
  <c r="E26"/>
  <c r="E30" i="13"/>
  <c r="E29"/>
  <c r="E28"/>
  <c r="E27"/>
  <c r="E26"/>
  <c r="E30" i="12"/>
  <c r="E29"/>
  <c r="E28"/>
  <c r="E27"/>
  <c r="E26"/>
  <c r="E30" i="11"/>
  <c r="E29"/>
  <c r="E28"/>
  <c r="E27"/>
  <c r="E26"/>
  <c r="D71" i="18"/>
  <c r="D71" i="17"/>
  <c r="D71" i="16"/>
  <c r="D71" i="15"/>
  <c r="D71" i="14"/>
  <c r="D71" i="13"/>
  <c r="D71" i="12"/>
  <c r="D71" i="11"/>
  <c r="D67" i="18"/>
  <c r="D65"/>
  <c r="D64"/>
  <c r="D63"/>
  <c r="D62"/>
  <c r="D67" i="17"/>
  <c r="D65"/>
  <c r="D64"/>
  <c r="D63"/>
  <c r="D62"/>
  <c r="D67" i="16"/>
  <c r="D65"/>
  <c r="D64"/>
  <c r="D63"/>
  <c r="D62"/>
  <c r="D67" i="15"/>
  <c r="D66"/>
  <c r="D65"/>
  <c r="D64"/>
  <c r="D63"/>
  <c r="D62"/>
  <c r="D67" i="14"/>
  <c r="D65"/>
  <c r="D64"/>
  <c r="D63"/>
  <c r="D62"/>
  <c r="D67" i="13"/>
  <c r="D65"/>
  <c r="D64"/>
  <c r="D63"/>
  <c r="D62"/>
  <c r="D67" i="12"/>
  <c r="D65"/>
  <c r="D64"/>
  <c r="D63"/>
  <c r="D62"/>
  <c r="D67" i="11"/>
  <c r="D65"/>
  <c r="D64"/>
  <c r="D63"/>
  <c r="D62"/>
  <c r="D57" i="18"/>
  <c r="D57" i="17"/>
  <c r="D57" i="16"/>
  <c r="D57" i="15"/>
  <c r="D57" i="14"/>
  <c r="D57" i="13"/>
  <c r="D57" i="12"/>
  <c r="D57" i="11"/>
  <c r="C7" i="18"/>
  <c r="C7" i="17"/>
  <c r="C7" i="16"/>
  <c r="C7" i="15"/>
  <c r="C7" i="14"/>
  <c r="C7" i="13"/>
  <c r="C7" i="12"/>
  <c r="C7" i="11"/>
  <c r="C5"/>
  <c r="E28" i="1"/>
  <c r="E7" i="4"/>
  <c r="G7" s="1"/>
  <c r="E10"/>
  <c r="G10" s="1"/>
  <c r="G9"/>
  <c r="E9"/>
  <c r="B12" i="10"/>
  <c r="A12"/>
  <c r="B11"/>
  <c r="A11"/>
  <c r="B10"/>
  <c r="A10"/>
  <c r="B9"/>
  <c r="A9"/>
  <c r="B8"/>
  <c r="A8"/>
  <c r="B7"/>
  <c r="A7"/>
  <c r="B6"/>
  <c r="A6"/>
  <c r="D102" i="18"/>
  <c r="D94"/>
  <c r="D51"/>
  <c r="D52" s="1"/>
  <c r="D48"/>
  <c r="D78" s="1"/>
  <c r="E35"/>
  <c r="E22"/>
  <c r="E21"/>
  <c r="H22" s="1"/>
  <c r="D102" i="17"/>
  <c r="D94"/>
  <c r="D51"/>
  <c r="D52" s="1"/>
  <c r="D48"/>
  <c r="D78" s="1"/>
  <c r="E35"/>
  <c r="E22"/>
  <c r="E21"/>
  <c r="H21" s="1"/>
  <c r="D102" i="16"/>
  <c r="D94"/>
  <c r="D51"/>
  <c r="D52" s="1"/>
  <c r="D48"/>
  <c r="D78" s="1"/>
  <c r="E35"/>
  <c r="E22"/>
  <c r="E21"/>
  <c r="H21" s="1"/>
  <c r="D102" i="15"/>
  <c r="D94"/>
  <c r="D51"/>
  <c r="D52" s="1"/>
  <c r="D48"/>
  <c r="E35"/>
  <c r="E22"/>
  <c r="E21"/>
  <c r="H22" s="1"/>
  <c r="D102" i="14"/>
  <c r="D94"/>
  <c r="D51"/>
  <c r="D52" s="1"/>
  <c r="D48"/>
  <c r="D78" s="1"/>
  <c r="E35"/>
  <c r="E22"/>
  <c r="E21"/>
  <c r="D102" i="13"/>
  <c r="D94"/>
  <c r="D51"/>
  <c r="D52" s="1"/>
  <c r="D48"/>
  <c r="D78" s="1"/>
  <c r="E35"/>
  <c r="E22"/>
  <c r="E21"/>
  <c r="D102" i="12"/>
  <c r="D94"/>
  <c r="D51"/>
  <c r="D52" s="1"/>
  <c r="D48"/>
  <c r="D66" s="1"/>
  <c r="E35"/>
  <c r="E22"/>
  <c r="E21"/>
  <c r="H22" s="1"/>
  <c r="B5" i="10"/>
  <c r="A5"/>
  <c r="D102" i="11"/>
  <c r="D94"/>
  <c r="D51"/>
  <c r="D52" s="1"/>
  <c r="D48"/>
  <c r="D66" s="1"/>
  <c r="E35"/>
  <c r="E22"/>
  <c r="E21"/>
  <c r="A4" i="10"/>
  <c r="E11" i="4"/>
  <c r="G11" s="1"/>
  <c r="E6"/>
  <c r="G6" s="1"/>
  <c r="E5"/>
  <c r="G5" s="1"/>
  <c r="E4"/>
  <c r="G4" s="1"/>
  <c r="D66" i="18" l="1"/>
  <c r="D66" i="17"/>
  <c r="D66" i="16"/>
  <c r="D66" i="14"/>
  <c r="D66" i="13"/>
  <c r="D53" i="17"/>
  <c r="H21" i="18"/>
  <c r="E23"/>
  <c r="E105" s="1"/>
  <c r="D53"/>
  <c r="E23" i="17"/>
  <c r="E105" s="1"/>
  <c r="E31"/>
  <c r="E106" s="1"/>
  <c r="E23" i="16"/>
  <c r="E105" s="1"/>
  <c r="D53"/>
  <c r="H21" i="12"/>
  <c r="E23"/>
  <c r="E105" s="1"/>
  <c r="E23" i="11"/>
  <c r="E46" s="1"/>
  <c r="E31" i="15"/>
  <c r="E106" s="1"/>
  <c r="E23"/>
  <c r="E76" s="1"/>
  <c r="H21" i="14"/>
  <c r="E23"/>
  <c r="E105" s="1"/>
  <c r="H22"/>
  <c r="D53"/>
  <c r="E23" i="13"/>
  <c r="E87" s="1"/>
  <c r="H21"/>
  <c r="D53"/>
  <c r="E65" i="12"/>
  <c r="E66" s="1"/>
  <c r="E31" i="18"/>
  <c r="E106" s="1"/>
  <c r="E31" i="16"/>
  <c r="E106" s="1"/>
  <c r="E31" i="14"/>
  <c r="E106" s="1"/>
  <c r="E31" i="13"/>
  <c r="E106" s="1"/>
  <c r="E31" i="12"/>
  <c r="E106" s="1"/>
  <c r="E31" i="11"/>
  <c r="E44" i="18"/>
  <c r="E43"/>
  <c r="D58"/>
  <c r="E62"/>
  <c r="E57"/>
  <c r="E45"/>
  <c r="E42" i="17"/>
  <c r="H22"/>
  <c r="E73"/>
  <c r="E51"/>
  <c r="E52" s="1"/>
  <c r="E53" s="1"/>
  <c r="E54" s="1"/>
  <c r="E83" s="1"/>
  <c r="D58"/>
  <c r="E87"/>
  <c r="E67"/>
  <c r="H22" i="16"/>
  <c r="E51"/>
  <c r="E52" s="1"/>
  <c r="E53" s="1"/>
  <c r="E54" s="1"/>
  <c r="E83" s="1"/>
  <c r="D58"/>
  <c r="E87"/>
  <c r="E67"/>
  <c r="E51" i="15"/>
  <c r="E52" s="1"/>
  <c r="D58"/>
  <c r="D78"/>
  <c r="H21"/>
  <c r="D53"/>
  <c r="E40" i="14"/>
  <c r="E44"/>
  <c r="E75"/>
  <c r="E43"/>
  <c r="D58"/>
  <c r="E62"/>
  <c r="E42"/>
  <c r="E57"/>
  <c r="E45"/>
  <c r="E67"/>
  <c r="E65" i="13"/>
  <c r="E66" s="1"/>
  <c r="H22"/>
  <c r="E71"/>
  <c r="D58"/>
  <c r="E64"/>
  <c r="E40" i="12"/>
  <c r="E44"/>
  <c r="E71"/>
  <c r="E73"/>
  <c r="E75"/>
  <c r="E43"/>
  <c r="E47"/>
  <c r="E51"/>
  <c r="E52" s="1"/>
  <c r="D58"/>
  <c r="E62"/>
  <c r="E64"/>
  <c r="D78"/>
  <c r="E87"/>
  <c r="E42"/>
  <c r="E46"/>
  <c r="D53"/>
  <c r="E57"/>
  <c r="E72"/>
  <c r="E74"/>
  <c r="E41"/>
  <c r="E45"/>
  <c r="E67"/>
  <c r="E76"/>
  <c r="E42" i="11"/>
  <c r="E51"/>
  <c r="E52" s="1"/>
  <c r="E47"/>
  <c r="E43"/>
  <c r="E75"/>
  <c r="E73"/>
  <c r="E71"/>
  <c r="E44"/>
  <c r="E40"/>
  <c r="E105"/>
  <c r="E76"/>
  <c r="E67"/>
  <c r="E65"/>
  <c r="E66" s="1"/>
  <c r="E45"/>
  <c r="E41"/>
  <c r="E72"/>
  <c r="E57"/>
  <c r="E74"/>
  <c r="H22"/>
  <c r="D58"/>
  <c r="D78"/>
  <c r="H21"/>
  <c r="D53"/>
  <c r="E29" i="1"/>
  <c r="E30"/>
  <c r="E22"/>
  <c r="E67" i="18" l="1"/>
  <c r="E72"/>
  <c r="E64"/>
  <c r="E47"/>
  <c r="E71"/>
  <c r="E65"/>
  <c r="E66" s="1"/>
  <c r="E76"/>
  <c r="E74"/>
  <c r="E87"/>
  <c r="E51"/>
  <c r="E52" s="1"/>
  <c r="E53" s="1"/>
  <c r="E54" s="1"/>
  <c r="E83" s="1"/>
  <c r="E73"/>
  <c r="E42"/>
  <c r="E41"/>
  <c r="E46"/>
  <c r="E75"/>
  <c r="E40"/>
  <c r="E45" i="17"/>
  <c r="E62"/>
  <c r="E63" s="1"/>
  <c r="E68" s="1"/>
  <c r="E85" s="1"/>
  <c r="E43"/>
  <c r="E44"/>
  <c r="E72"/>
  <c r="E65"/>
  <c r="E66" s="1"/>
  <c r="E64"/>
  <c r="E47"/>
  <c r="E71"/>
  <c r="E74"/>
  <c r="E77" s="1"/>
  <c r="E78" s="1"/>
  <c r="E79" s="1"/>
  <c r="E86" s="1"/>
  <c r="E76"/>
  <c r="E41"/>
  <c r="E75"/>
  <c r="E40"/>
  <c r="E57"/>
  <c r="E62" i="15"/>
  <c r="E75" i="13"/>
  <c r="E76"/>
  <c r="E47"/>
  <c r="E46"/>
  <c r="E40"/>
  <c r="E41"/>
  <c r="E87" i="11"/>
  <c r="E64"/>
  <c r="E62"/>
  <c r="E106"/>
  <c r="E58" i="17"/>
  <c r="E59" s="1"/>
  <c r="E84" s="1"/>
  <c r="E58" i="11"/>
  <c r="E59" s="1"/>
  <c r="E84" s="1"/>
  <c r="E53" i="15"/>
  <c r="E54" s="1"/>
  <c r="E83" s="1"/>
  <c r="E58" i="18"/>
  <c r="E59" s="1"/>
  <c r="E84" s="1"/>
  <c r="E76" i="16"/>
  <c r="E41"/>
  <c r="E44"/>
  <c r="E45"/>
  <c r="E62"/>
  <c r="E63" s="1"/>
  <c r="E43"/>
  <c r="E65"/>
  <c r="E66" s="1"/>
  <c r="E64"/>
  <c r="E47"/>
  <c r="E72"/>
  <c r="E46" i="17"/>
  <c r="E48" s="1"/>
  <c r="E82" s="1"/>
  <c r="E71" i="16"/>
  <c r="E74"/>
  <c r="E42"/>
  <c r="E73"/>
  <c r="E46"/>
  <c r="E75"/>
  <c r="E40"/>
  <c r="E57"/>
  <c r="E58" s="1"/>
  <c r="E59" s="1"/>
  <c r="E84" s="1"/>
  <c r="E43" i="15"/>
  <c r="E47"/>
  <c r="E65"/>
  <c r="E66" s="1"/>
  <c r="E40"/>
  <c r="E67"/>
  <c r="E72"/>
  <c r="E46"/>
  <c r="E45"/>
  <c r="E57"/>
  <c r="E58" s="1"/>
  <c r="E75"/>
  <c r="E42"/>
  <c r="E73"/>
  <c r="E41"/>
  <c r="E105"/>
  <c r="E74"/>
  <c r="E71"/>
  <c r="E64"/>
  <c r="E44"/>
  <c r="E87"/>
  <c r="E65" i="14"/>
  <c r="E66" s="1"/>
  <c r="E76"/>
  <c r="E74"/>
  <c r="E64"/>
  <c r="E47"/>
  <c r="E71"/>
  <c r="E46"/>
  <c r="E41"/>
  <c r="E87"/>
  <c r="E51"/>
  <c r="E52" s="1"/>
  <c r="E53" s="1"/>
  <c r="E54" s="1"/>
  <c r="E83" s="1"/>
  <c r="E73"/>
  <c r="E72"/>
  <c r="E72" i="13"/>
  <c r="E51"/>
  <c r="E52" s="1"/>
  <c r="E53" s="1"/>
  <c r="E54" s="1"/>
  <c r="E83" s="1"/>
  <c r="E73"/>
  <c r="E67"/>
  <c r="E74"/>
  <c r="E42"/>
  <c r="E62"/>
  <c r="E63" s="1"/>
  <c r="E68" s="1"/>
  <c r="E85" s="1"/>
  <c r="E43"/>
  <c r="E44"/>
  <c r="E105"/>
  <c r="E45"/>
  <c r="E57"/>
  <c r="E48" i="11"/>
  <c r="E82" s="1"/>
  <c r="E77" i="18"/>
  <c r="E63"/>
  <c r="E68" s="1"/>
  <c r="E85" s="1"/>
  <c r="E48"/>
  <c r="E82" s="1"/>
  <c r="E63" i="15"/>
  <c r="E68" s="1"/>
  <c r="E85" s="1"/>
  <c r="E63" i="14"/>
  <c r="E58"/>
  <c r="E59" s="1"/>
  <c r="E84" s="1"/>
  <c r="E77" i="13"/>
  <c r="E63" i="12"/>
  <c r="E68" s="1"/>
  <c r="E85" s="1"/>
  <c r="E53"/>
  <c r="E54" s="1"/>
  <c r="E83" s="1"/>
  <c r="E58"/>
  <c r="E59" s="1"/>
  <c r="E84" s="1"/>
  <c r="E48"/>
  <c r="E82" s="1"/>
  <c r="E77"/>
  <c r="E63" i="11"/>
  <c r="E68" s="1"/>
  <c r="E85" s="1"/>
  <c r="E53"/>
  <c r="E54" s="1"/>
  <c r="E83" s="1"/>
  <c r="E77"/>
  <c r="E26" i="1"/>
  <c r="D57"/>
  <c r="D48"/>
  <c r="D53" s="1"/>
  <c r="E35"/>
  <c r="E27"/>
  <c r="E21"/>
  <c r="E23" s="1"/>
  <c r="E41" l="1"/>
  <c r="E48" i="16"/>
  <c r="E82" s="1"/>
  <c r="E48" i="14"/>
  <c r="E82" s="1"/>
  <c r="E68" i="16"/>
  <c r="E85" s="1"/>
  <c r="E77"/>
  <c r="E78" s="1"/>
  <c r="E79" s="1"/>
  <c r="E86" s="1"/>
  <c r="E48" i="15"/>
  <c r="E82" s="1"/>
  <c r="E77"/>
  <c r="E78" s="1"/>
  <c r="E79" s="1"/>
  <c r="E86" s="1"/>
  <c r="E68" i="14"/>
  <c r="E85" s="1"/>
  <c r="E77"/>
  <c r="E78" s="1"/>
  <c r="E79" s="1"/>
  <c r="E86" s="1"/>
  <c r="E48" i="13"/>
  <c r="E82" s="1"/>
  <c r="E59" i="15"/>
  <c r="E84" s="1"/>
  <c r="E58" i="13"/>
  <c r="E59" s="1"/>
  <c r="E84" s="1"/>
  <c r="E78" i="18"/>
  <c r="E79" s="1"/>
  <c r="E86" s="1"/>
  <c r="E88" s="1"/>
  <c r="E88" i="17"/>
  <c r="E78" i="13"/>
  <c r="E79" s="1"/>
  <c r="E86" s="1"/>
  <c r="E78" i="12"/>
  <c r="E79" s="1"/>
  <c r="E86" s="1"/>
  <c r="E88" s="1"/>
  <c r="E78" i="11"/>
  <c r="E79" s="1"/>
  <c r="E86" s="1"/>
  <c r="E88" s="1"/>
  <c r="E40" i="1"/>
  <c r="E46"/>
  <c r="E42"/>
  <c r="E47"/>
  <c r="E43"/>
  <c r="E44"/>
  <c r="E45"/>
  <c r="G12" i="4"/>
  <c r="E31" i="1"/>
  <c r="D94"/>
  <c r="D71"/>
  <c r="D77" s="1"/>
  <c r="D67"/>
  <c r="E67" s="1"/>
  <c r="D65"/>
  <c r="D64"/>
  <c r="D62"/>
  <c r="D51"/>
  <c r="E88" i="16" l="1"/>
  <c r="E108" s="1"/>
  <c r="E88" i="14"/>
  <c r="E108" s="1"/>
  <c r="E88" i="15"/>
  <c r="E108" s="1"/>
  <c r="E88" i="13"/>
  <c r="E108" s="1"/>
  <c r="D34" i="11"/>
  <c r="E34" s="1"/>
  <c r="E36" s="1"/>
  <c r="D34" i="17"/>
  <c r="E34" s="1"/>
  <c r="E36" s="1"/>
  <c r="E107" s="1"/>
  <c r="D34" i="15"/>
  <c r="E34" s="1"/>
  <c r="E36" s="1"/>
  <c r="E107" s="1"/>
  <c r="D34" i="16"/>
  <c r="E34" s="1"/>
  <c r="E36" s="1"/>
  <c r="E107" s="1"/>
  <c r="D34" i="12"/>
  <c r="E34" s="1"/>
  <c r="E36" s="1"/>
  <c r="E107" s="1"/>
  <c r="D34" i="18"/>
  <c r="E34" s="1"/>
  <c r="E36" s="1"/>
  <c r="E107" s="1"/>
  <c r="D34" i="13"/>
  <c r="E34" s="1"/>
  <c r="E36" s="1"/>
  <c r="E107" s="1"/>
  <c r="D34" i="14"/>
  <c r="E34" s="1"/>
  <c r="E36" s="1"/>
  <c r="E107" s="1"/>
  <c r="E108" i="18"/>
  <c r="E108" i="17"/>
  <c r="E108" i="12"/>
  <c r="E108" i="11"/>
  <c r="D34" i="1"/>
  <c r="E34" s="1"/>
  <c r="E36" s="1"/>
  <c r="E48"/>
  <c r="D63"/>
  <c r="E107" i="11" l="1"/>
  <c r="E109" s="1"/>
  <c r="E89"/>
  <c r="E89" i="18"/>
  <c r="E92" s="1"/>
  <c r="E93" s="1"/>
  <c r="E94" s="1"/>
  <c r="E95" s="1"/>
  <c r="E109" i="12"/>
  <c r="E92" i="11"/>
  <c r="E89" i="17"/>
  <c r="E92" s="1"/>
  <c r="E93" s="1"/>
  <c r="E109" i="18"/>
  <c r="E109" i="17"/>
  <c r="E109" i="13"/>
  <c r="E109" i="15"/>
  <c r="E89" i="13"/>
  <c r="E92" s="1"/>
  <c r="E89" i="15"/>
  <c r="E92" s="1"/>
  <c r="E93" s="1"/>
  <c r="E94" s="1"/>
  <c r="E95" s="1"/>
  <c r="E109" i="14"/>
  <c r="E109" i="16"/>
  <c r="E89" i="12"/>
  <c r="E92" s="1"/>
  <c r="E89" i="14"/>
  <c r="E92" s="1"/>
  <c r="E89" i="16"/>
  <c r="E92" s="1"/>
  <c r="E107" i="1"/>
  <c r="E93" i="13" l="1"/>
  <c r="E94" s="1"/>
  <c r="E95" s="1"/>
  <c r="E101" s="1"/>
  <c r="E93" i="14"/>
  <c r="E94" s="1"/>
  <c r="E95" s="1"/>
  <c r="E97" s="1"/>
  <c r="E94" i="17"/>
  <c r="E95" s="1"/>
  <c r="E97" s="1"/>
  <c r="E101" i="18"/>
  <c r="E97"/>
  <c r="E98"/>
  <c r="E93" i="16"/>
  <c r="E94" s="1"/>
  <c r="E95" s="1"/>
  <c r="E101" i="15"/>
  <c r="E97"/>
  <c r="E98"/>
  <c r="E93" i="12"/>
  <c r="E94" s="1"/>
  <c r="E95" s="1"/>
  <c r="E93" i="11"/>
  <c r="E94" s="1"/>
  <c r="E95" s="1"/>
  <c r="D66" i="1"/>
  <c r="E101" i="17" l="1"/>
  <c r="E98" i="13"/>
  <c r="E97"/>
  <c r="E98" i="17"/>
  <c r="E98" i="14"/>
  <c r="E101"/>
  <c r="E102" i="15"/>
  <c r="E103" s="1"/>
  <c r="E110" s="1"/>
  <c r="E111" s="1"/>
  <c r="E102" i="18"/>
  <c r="E103" s="1"/>
  <c r="E110" s="1"/>
  <c r="E111" s="1"/>
  <c r="E101" i="16"/>
  <c r="E97"/>
  <c r="E98"/>
  <c r="E101" i="12"/>
  <c r="E97"/>
  <c r="E98"/>
  <c r="E97" i="11"/>
  <c r="E98"/>
  <c r="E101"/>
  <c r="D58" i="1"/>
  <c r="H21"/>
  <c r="E102" i="17" l="1"/>
  <c r="E103" s="1"/>
  <c r="E110" s="1"/>
  <c r="E111" s="1"/>
  <c r="E112" s="1"/>
  <c r="E102" i="13"/>
  <c r="E103" s="1"/>
  <c r="E110" s="1"/>
  <c r="E111" s="1"/>
  <c r="C7" i="10" s="1"/>
  <c r="D7" s="1"/>
  <c r="E7" s="1"/>
  <c r="E102" i="14"/>
  <c r="E103" s="1"/>
  <c r="E110" s="1"/>
  <c r="E111" s="1"/>
  <c r="E112" s="1"/>
  <c r="E112" i="15"/>
  <c r="C9" i="10"/>
  <c r="D9" s="1"/>
  <c r="E9" s="1"/>
  <c r="E112" i="18"/>
  <c r="C12" i="10"/>
  <c r="D12" s="1"/>
  <c r="E12" s="1"/>
  <c r="E102" i="16"/>
  <c r="E103" s="1"/>
  <c r="E110" s="1"/>
  <c r="E111" s="1"/>
  <c r="E102" i="12"/>
  <c r="E103" s="1"/>
  <c r="E110" s="1"/>
  <c r="E111" s="1"/>
  <c r="E102" i="11"/>
  <c r="E103" s="1"/>
  <c r="E110" s="1"/>
  <c r="E111" s="1"/>
  <c r="E51" i="1"/>
  <c r="E52" s="1"/>
  <c r="E53" s="1"/>
  <c r="E106"/>
  <c r="E57"/>
  <c r="E58" s="1"/>
  <c r="E76"/>
  <c r="E71"/>
  <c r="E64"/>
  <c r="E65"/>
  <c r="E66" s="1"/>
  <c r="E75"/>
  <c r="E72"/>
  <c r="E74"/>
  <c r="E62"/>
  <c r="E63" s="1"/>
  <c r="E73"/>
  <c r="E105"/>
  <c r="C11" i="10" l="1"/>
  <c r="D11" s="1"/>
  <c r="E11" s="1"/>
  <c r="E112" i="13"/>
  <c r="C8" i="10"/>
  <c r="D8" s="1"/>
  <c r="E8" s="1"/>
  <c r="E112" i="16"/>
  <c r="C10" i="10"/>
  <c r="D10" s="1"/>
  <c r="E10" s="1"/>
  <c r="E112" i="12"/>
  <c r="C6" i="10"/>
  <c r="D6" s="1"/>
  <c r="E6" s="1"/>
  <c r="C5"/>
  <c r="D5" s="1"/>
  <c r="E5" s="1"/>
  <c r="E77" i="1"/>
  <c r="D102"/>
  <c r="D52"/>
  <c r="E68" l="1"/>
  <c r="D78"/>
  <c r="E85" l="1"/>
  <c r="E54"/>
  <c r="E59"/>
  <c r="E84" s="1"/>
  <c r="E87"/>
  <c r="E82" l="1"/>
  <c r="E83" l="1"/>
  <c r="E78"/>
  <c r="E79" l="1"/>
  <c r="E86" s="1"/>
  <c r="E88" s="1"/>
  <c r="E89" s="1"/>
  <c r="E92" l="1"/>
  <c r="E93" s="1"/>
  <c r="E94" s="1"/>
  <c r="E95" s="1"/>
  <c r="E97" s="1"/>
  <c r="E108"/>
  <c r="E109" s="1"/>
  <c r="E98" l="1"/>
  <c r="E101"/>
  <c r="E102" l="1"/>
  <c r="E103" l="1"/>
  <c r="E110" s="1"/>
  <c r="E111" s="1"/>
  <c r="C4" i="10" s="1"/>
  <c r="D4" s="1"/>
  <c r="E4" l="1"/>
  <c r="E13" s="1"/>
  <c r="D13"/>
</calcChain>
</file>

<file path=xl/comments1.xml><?xml version="1.0" encoding="utf-8"?>
<comments xmlns="http://schemas.openxmlformats.org/spreadsheetml/2006/main">
  <authors>
    <author>Walter S Gouvêa</author>
    <author>Profº Walter S. Gouvêa</author>
  </authors>
  <commentList>
    <comment ref="A24" authorId="0">
      <text>
        <r>
          <rPr>
            <b/>
            <sz val="9"/>
            <color indexed="81"/>
            <rFont val="Tahoma"/>
            <family val="2"/>
          </rPr>
          <t>Walter S Gouvêa:</t>
        </r>
        <r>
          <rPr>
            <sz val="9"/>
            <color indexed="81"/>
            <rFont val="Tahoma"/>
            <family val="2"/>
          </rPr>
          <t xml:space="preserve">
Nota: o valor informado deverá ser o custo real do insumo (descontado o valor eventualmente pago pelo empregado).
</t>
        </r>
      </text>
    </comment>
    <comment ref="E25" authorId="1">
      <text>
        <r>
          <rPr>
            <b/>
            <sz val="9"/>
            <color indexed="81"/>
            <rFont val="Segoe UI"/>
            <family val="2"/>
          </rPr>
          <t>Profº Walter S. Gouvêa:</t>
        </r>
        <r>
          <rPr>
            <sz val="9"/>
            <color indexed="81"/>
            <rFont val="Segoe UI"/>
            <family val="2"/>
          </rPr>
          <t xml:space="preserve">
Nota: o valor informado deverá ser o custo real do insumo (descontado o valor eventualmente pago pelo empregado)</t>
        </r>
      </text>
    </comment>
  </commentList>
</comments>
</file>

<file path=xl/comments2.xml><?xml version="1.0" encoding="utf-8"?>
<comments xmlns="http://schemas.openxmlformats.org/spreadsheetml/2006/main">
  <authors>
    <author>Walter S Gouvêa</author>
    <author>Profº Walter S. Gouvêa</author>
    <author>Prof. Walter</author>
  </authors>
  <commentList>
    <comment ref="A24" authorId="0">
      <text>
        <r>
          <rPr>
            <b/>
            <sz val="9"/>
            <color indexed="81"/>
            <rFont val="Tahoma"/>
            <family val="2"/>
          </rPr>
          <t>Walter S Gouvêa:</t>
        </r>
        <r>
          <rPr>
            <sz val="9"/>
            <color indexed="81"/>
            <rFont val="Tahoma"/>
            <family val="2"/>
          </rPr>
          <t xml:space="preserve">
Nota: o valor informado deverá ser o custo real do insumo (descontado o valor eventualmente pago pelo empregado).
</t>
        </r>
      </text>
    </comment>
    <comment ref="E25" authorId="1">
      <text>
        <r>
          <rPr>
            <b/>
            <sz val="9"/>
            <color indexed="81"/>
            <rFont val="Segoe UI"/>
            <family val="2"/>
          </rPr>
          <t>Profº Walter S. Gouvêa:</t>
        </r>
        <r>
          <rPr>
            <sz val="9"/>
            <color indexed="81"/>
            <rFont val="Segoe UI"/>
            <family val="2"/>
          </rPr>
          <t xml:space="preserve">
Nota: o valor informado deverá ser o custo real do insumo (descontado o valor eventualmente pago pelo empregado)</t>
        </r>
      </text>
    </comment>
    <comment ref="C95" authorId="2">
      <text>
        <r>
          <rPr>
            <b/>
            <sz val="12"/>
            <color indexed="81"/>
            <rFont val="Tahoma"/>
            <family val="2"/>
          </rPr>
          <t>Prof. Walter:</t>
        </r>
        <r>
          <rPr>
            <sz val="12"/>
            <color indexed="81"/>
            <rFont val="Tahoma"/>
            <family val="2"/>
          </rPr>
          <t xml:space="preserve">
Os tributos são calculados sobre o faturamento. Ou seja, somam-se os tributos (PIS, COFINS e ISS = 8,65) subtrai-se de 100 obtendo-se 9,135/100 = 0,9135, que representará os tributos a serem pagos </t>
        </r>
        <r>
          <rPr>
            <u/>
            <sz val="12"/>
            <color indexed="81"/>
            <rFont val="Tahoma"/>
            <family val="2"/>
          </rPr>
          <t>sem que o faturamento</t>
        </r>
        <r>
          <rPr>
            <sz val="12"/>
            <color indexed="81"/>
            <rFont val="Tahoma"/>
            <family val="2"/>
          </rPr>
          <t xml:space="preserve"> seja alterado. Trata-se de fórmula circular denominada "</t>
        </r>
        <r>
          <rPr>
            <sz val="12"/>
            <color indexed="10"/>
            <rFont val="Tahoma"/>
            <family val="2"/>
          </rPr>
          <t>CÁLCULO POR DENTRO</t>
        </r>
        <r>
          <rPr>
            <sz val="12"/>
            <color indexed="81"/>
            <rFont val="Tahoma"/>
            <family val="2"/>
          </rPr>
          <t xml:space="preserve">" 
Esse montante (0,9135) é aplicado sobre o somatório (M1+M2+M3+M4+CUSTOS INDIRETOS+LUCRO = TG cujo resultado servirá para a base de cálculo dos tributos.
TG/0,9135 = RESULTADO sobre o qual calcula-se o PIS, COFINS e ISS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comments3.xml><?xml version="1.0" encoding="utf-8"?>
<comments xmlns="http://schemas.openxmlformats.org/spreadsheetml/2006/main">
  <authors>
    <author>Walter S Gouvêa</author>
    <author>Profº Walter S. Gouvêa</author>
    <author>Prof. Walter</author>
  </authors>
  <commentList>
    <comment ref="A24" authorId="0">
      <text>
        <r>
          <rPr>
            <b/>
            <sz val="9"/>
            <color indexed="81"/>
            <rFont val="Tahoma"/>
            <family val="2"/>
          </rPr>
          <t>Walter S Gouvêa:</t>
        </r>
        <r>
          <rPr>
            <sz val="9"/>
            <color indexed="81"/>
            <rFont val="Tahoma"/>
            <family val="2"/>
          </rPr>
          <t xml:space="preserve">
Nota: o valor informado deverá ser o custo real do insumo (descontado o valor eventualmente pago pelo empregado).
</t>
        </r>
      </text>
    </comment>
    <comment ref="E25" authorId="1">
      <text>
        <r>
          <rPr>
            <b/>
            <sz val="9"/>
            <color indexed="81"/>
            <rFont val="Segoe UI"/>
            <family val="2"/>
          </rPr>
          <t>Profº Walter S. Gouvêa:</t>
        </r>
        <r>
          <rPr>
            <sz val="9"/>
            <color indexed="81"/>
            <rFont val="Segoe UI"/>
            <family val="2"/>
          </rPr>
          <t xml:space="preserve">
Nota: o valor informado deverá ser o custo real do insumo (descontado o valor eventualmente pago pelo empregado)</t>
        </r>
      </text>
    </comment>
    <comment ref="C95" authorId="2">
      <text>
        <r>
          <rPr>
            <b/>
            <sz val="12"/>
            <color indexed="81"/>
            <rFont val="Tahoma"/>
            <family val="2"/>
          </rPr>
          <t>Prof. Walter:</t>
        </r>
        <r>
          <rPr>
            <sz val="12"/>
            <color indexed="81"/>
            <rFont val="Tahoma"/>
            <family val="2"/>
          </rPr>
          <t xml:space="preserve">
Os tributos são calculados sobre o faturamento. Ou seja, somam-se os tributos (PIS, COFINS e ISS = 8,65) subtrai-se de 100 obtendo-se 9,135/100 = 0,9135, que representará os tributos a serem pagos </t>
        </r>
        <r>
          <rPr>
            <u/>
            <sz val="12"/>
            <color indexed="81"/>
            <rFont val="Tahoma"/>
            <family val="2"/>
          </rPr>
          <t>sem que o faturamento</t>
        </r>
        <r>
          <rPr>
            <sz val="12"/>
            <color indexed="81"/>
            <rFont val="Tahoma"/>
            <family val="2"/>
          </rPr>
          <t xml:space="preserve"> seja alterado. Trata-se de fórmula circular denominada "</t>
        </r>
        <r>
          <rPr>
            <sz val="12"/>
            <color indexed="10"/>
            <rFont val="Tahoma"/>
            <family val="2"/>
          </rPr>
          <t>CÁLCULO POR DENTRO</t>
        </r>
        <r>
          <rPr>
            <sz val="12"/>
            <color indexed="81"/>
            <rFont val="Tahoma"/>
            <family val="2"/>
          </rPr>
          <t xml:space="preserve">" 
Esse montante (0,9135) é aplicado sobre o somatório (M1+M2+M3+M4+CUSTOS INDIRETOS+LUCRO = TG cujo resultado servirá para a base de cálculo dos tributos.
TG/0,9135 = RESULTADO sobre o qual calcula-se o PIS, COFINS e ISS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comments4.xml><?xml version="1.0" encoding="utf-8"?>
<comments xmlns="http://schemas.openxmlformats.org/spreadsheetml/2006/main">
  <authors>
    <author>Walter S Gouvêa</author>
    <author>Profº Walter S. Gouvêa</author>
    <author>Prof. Walter</author>
  </authors>
  <commentList>
    <comment ref="A24" authorId="0">
      <text>
        <r>
          <rPr>
            <b/>
            <sz val="9"/>
            <color indexed="81"/>
            <rFont val="Tahoma"/>
            <family val="2"/>
          </rPr>
          <t>Walter S Gouvêa:</t>
        </r>
        <r>
          <rPr>
            <sz val="9"/>
            <color indexed="81"/>
            <rFont val="Tahoma"/>
            <family val="2"/>
          </rPr>
          <t xml:space="preserve">
Nota: o valor informado deverá ser o custo real do insumo (descontado o valor eventualmente pago pelo empregado).
</t>
        </r>
      </text>
    </comment>
    <comment ref="E25" authorId="1">
      <text>
        <r>
          <rPr>
            <b/>
            <sz val="9"/>
            <color indexed="81"/>
            <rFont val="Segoe UI"/>
            <family val="2"/>
          </rPr>
          <t>Profº Walter S. Gouvêa:</t>
        </r>
        <r>
          <rPr>
            <sz val="9"/>
            <color indexed="81"/>
            <rFont val="Segoe UI"/>
            <family val="2"/>
          </rPr>
          <t xml:space="preserve">
Nota: o valor informado deverá ser o custo real do insumo (descontado o valor eventualmente pago pelo empregado)</t>
        </r>
      </text>
    </comment>
    <comment ref="C95" authorId="2">
      <text>
        <r>
          <rPr>
            <b/>
            <sz val="12"/>
            <color indexed="81"/>
            <rFont val="Tahoma"/>
            <family val="2"/>
          </rPr>
          <t>Prof. Walter:</t>
        </r>
        <r>
          <rPr>
            <sz val="12"/>
            <color indexed="81"/>
            <rFont val="Tahoma"/>
            <family val="2"/>
          </rPr>
          <t xml:space="preserve">
Os tributos são calculados sobre o faturamento. Ou seja, somam-se os tributos (PIS, COFINS e ISS = 8,65) subtrai-se de 100 obtendo-se 9,135/100 = 0,9135, que representará os tributos a serem pagos </t>
        </r>
        <r>
          <rPr>
            <u/>
            <sz val="12"/>
            <color indexed="81"/>
            <rFont val="Tahoma"/>
            <family val="2"/>
          </rPr>
          <t>sem que o faturamento</t>
        </r>
        <r>
          <rPr>
            <sz val="12"/>
            <color indexed="81"/>
            <rFont val="Tahoma"/>
            <family val="2"/>
          </rPr>
          <t xml:space="preserve"> seja alterado. Trata-se de fórmula circular denominada "</t>
        </r>
        <r>
          <rPr>
            <sz val="12"/>
            <color indexed="10"/>
            <rFont val="Tahoma"/>
            <family val="2"/>
          </rPr>
          <t>CÁLCULO POR DENTRO</t>
        </r>
        <r>
          <rPr>
            <sz val="12"/>
            <color indexed="81"/>
            <rFont val="Tahoma"/>
            <family val="2"/>
          </rPr>
          <t xml:space="preserve">" 
Esse montante (0,9135) é aplicado sobre o somatório (M1+M2+M3+M4+CUSTOS INDIRETOS+LUCRO = TG cujo resultado servirá para a base de cálculo dos tributos.
TG/0,9135 = RESULTADO sobre o qual calcula-se o PIS, COFINS e ISS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comments5.xml><?xml version="1.0" encoding="utf-8"?>
<comments xmlns="http://schemas.openxmlformats.org/spreadsheetml/2006/main">
  <authors>
    <author>Walter S Gouvêa</author>
    <author>Profº Walter S. Gouvêa</author>
    <author>Prof. Walter</author>
  </authors>
  <commentList>
    <comment ref="A24" authorId="0">
      <text>
        <r>
          <rPr>
            <b/>
            <sz val="9"/>
            <color indexed="81"/>
            <rFont val="Tahoma"/>
            <family val="2"/>
          </rPr>
          <t>Walter S Gouvêa:</t>
        </r>
        <r>
          <rPr>
            <sz val="9"/>
            <color indexed="81"/>
            <rFont val="Tahoma"/>
            <family val="2"/>
          </rPr>
          <t xml:space="preserve">
Nota: o valor informado deverá ser o custo real do insumo (descontado o valor eventualmente pago pelo empregado).
</t>
        </r>
      </text>
    </comment>
    <comment ref="E25" authorId="1">
      <text>
        <r>
          <rPr>
            <b/>
            <sz val="9"/>
            <color indexed="81"/>
            <rFont val="Segoe UI"/>
            <family val="2"/>
          </rPr>
          <t>Profº Walter S. Gouvêa:</t>
        </r>
        <r>
          <rPr>
            <sz val="9"/>
            <color indexed="81"/>
            <rFont val="Segoe UI"/>
            <family val="2"/>
          </rPr>
          <t xml:space="preserve">
Nota: o valor informado deverá ser o custo real do insumo (descontado o valor eventualmente pago pelo empregado)</t>
        </r>
      </text>
    </comment>
    <comment ref="C95" authorId="2">
      <text>
        <r>
          <rPr>
            <b/>
            <sz val="12"/>
            <color indexed="81"/>
            <rFont val="Tahoma"/>
            <family val="2"/>
          </rPr>
          <t>Prof. Walter:</t>
        </r>
        <r>
          <rPr>
            <sz val="12"/>
            <color indexed="81"/>
            <rFont val="Tahoma"/>
            <family val="2"/>
          </rPr>
          <t xml:space="preserve">
Os tributos são calculados sobre o faturamento. Ou seja, somam-se os tributos (PIS, COFINS e ISS = 8,65) subtrai-se de 100 obtendo-se 9,135/100 = 0,9135, que representará os tributos a serem pagos </t>
        </r>
        <r>
          <rPr>
            <u/>
            <sz val="12"/>
            <color indexed="81"/>
            <rFont val="Tahoma"/>
            <family val="2"/>
          </rPr>
          <t>sem que o faturamento</t>
        </r>
        <r>
          <rPr>
            <sz val="12"/>
            <color indexed="81"/>
            <rFont val="Tahoma"/>
            <family val="2"/>
          </rPr>
          <t xml:space="preserve"> seja alterado. Trata-se de fórmula circular denominada "</t>
        </r>
        <r>
          <rPr>
            <sz val="12"/>
            <color indexed="10"/>
            <rFont val="Tahoma"/>
            <family val="2"/>
          </rPr>
          <t>CÁLCULO POR DENTRO</t>
        </r>
        <r>
          <rPr>
            <sz val="12"/>
            <color indexed="81"/>
            <rFont val="Tahoma"/>
            <family val="2"/>
          </rPr>
          <t xml:space="preserve">" 
Esse montante (0,9135) é aplicado sobre o somatório (M1+M2+M3+M4+CUSTOS INDIRETOS+LUCRO = TG cujo resultado servirá para a base de cálculo dos tributos.
TG/0,9135 = RESULTADO sobre o qual calcula-se o PIS, COFINS e ISS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comments6.xml><?xml version="1.0" encoding="utf-8"?>
<comments xmlns="http://schemas.openxmlformats.org/spreadsheetml/2006/main">
  <authors>
    <author>Walter S Gouvêa</author>
    <author>Profº Walter S. Gouvêa</author>
    <author>Prof. Walter</author>
  </authors>
  <commentList>
    <comment ref="A24" authorId="0">
      <text>
        <r>
          <rPr>
            <b/>
            <sz val="9"/>
            <color indexed="81"/>
            <rFont val="Tahoma"/>
            <family val="2"/>
          </rPr>
          <t>Walter S Gouvêa:</t>
        </r>
        <r>
          <rPr>
            <sz val="9"/>
            <color indexed="81"/>
            <rFont val="Tahoma"/>
            <family val="2"/>
          </rPr>
          <t xml:space="preserve">
Nota: o valor informado deverá ser o custo real do insumo (descontado o valor eventualmente pago pelo empregado).
</t>
        </r>
      </text>
    </comment>
    <comment ref="E25" authorId="1">
      <text>
        <r>
          <rPr>
            <b/>
            <sz val="9"/>
            <color indexed="81"/>
            <rFont val="Segoe UI"/>
            <family val="2"/>
          </rPr>
          <t>Profº Walter S. Gouvêa:</t>
        </r>
        <r>
          <rPr>
            <sz val="9"/>
            <color indexed="81"/>
            <rFont val="Segoe UI"/>
            <family val="2"/>
          </rPr>
          <t xml:space="preserve">
Nota: o valor informado deverá ser o custo real do insumo (descontado o valor eventualmente pago pelo empregado)</t>
        </r>
      </text>
    </comment>
    <comment ref="C95" authorId="2">
      <text>
        <r>
          <rPr>
            <b/>
            <sz val="12"/>
            <color indexed="81"/>
            <rFont val="Tahoma"/>
            <family val="2"/>
          </rPr>
          <t>Prof. Walter:</t>
        </r>
        <r>
          <rPr>
            <sz val="12"/>
            <color indexed="81"/>
            <rFont val="Tahoma"/>
            <family val="2"/>
          </rPr>
          <t xml:space="preserve">
Os tributos são calculados sobre o faturamento. Ou seja, somam-se os tributos (PIS, COFINS e ISS = 8,65) subtrai-se de 100 obtendo-se 9,135/100 = 0,9135, que representará os tributos a serem pagos </t>
        </r>
        <r>
          <rPr>
            <u/>
            <sz val="12"/>
            <color indexed="81"/>
            <rFont val="Tahoma"/>
            <family val="2"/>
          </rPr>
          <t>sem que o faturamento</t>
        </r>
        <r>
          <rPr>
            <sz val="12"/>
            <color indexed="81"/>
            <rFont val="Tahoma"/>
            <family val="2"/>
          </rPr>
          <t xml:space="preserve"> seja alterado. Trata-se de fórmula circular denominada "</t>
        </r>
        <r>
          <rPr>
            <sz val="12"/>
            <color indexed="10"/>
            <rFont val="Tahoma"/>
            <family val="2"/>
          </rPr>
          <t>CÁLCULO POR DENTRO</t>
        </r>
        <r>
          <rPr>
            <sz val="12"/>
            <color indexed="81"/>
            <rFont val="Tahoma"/>
            <family val="2"/>
          </rPr>
          <t xml:space="preserve">" 
Esse montante (0,9135) é aplicado sobre o somatório (M1+M2+M3+M4+CUSTOS INDIRETOS+LUCRO = TG cujo resultado servirá para a base de cálculo dos tributos.
TG/0,9135 = RESULTADO sobre o qual calcula-se o PIS, COFINS e ISS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comments7.xml><?xml version="1.0" encoding="utf-8"?>
<comments xmlns="http://schemas.openxmlformats.org/spreadsheetml/2006/main">
  <authors>
    <author>Walter S Gouvêa</author>
    <author>Profº Walter S. Gouvêa</author>
    <author>Prof. Walter</author>
  </authors>
  <commentList>
    <comment ref="A24" authorId="0">
      <text>
        <r>
          <rPr>
            <b/>
            <sz val="9"/>
            <color indexed="81"/>
            <rFont val="Tahoma"/>
            <family val="2"/>
          </rPr>
          <t>Walter S Gouvêa:</t>
        </r>
        <r>
          <rPr>
            <sz val="9"/>
            <color indexed="81"/>
            <rFont val="Tahoma"/>
            <family val="2"/>
          </rPr>
          <t xml:space="preserve">
Nota: o valor informado deverá ser o custo real do insumo (descontado o valor eventualmente pago pelo empregado).
</t>
        </r>
      </text>
    </comment>
    <comment ref="E25" authorId="1">
      <text>
        <r>
          <rPr>
            <b/>
            <sz val="9"/>
            <color indexed="81"/>
            <rFont val="Segoe UI"/>
            <family val="2"/>
          </rPr>
          <t>Profº Walter S. Gouvêa:</t>
        </r>
        <r>
          <rPr>
            <sz val="9"/>
            <color indexed="81"/>
            <rFont val="Segoe UI"/>
            <family val="2"/>
          </rPr>
          <t xml:space="preserve">
Nota: o valor informado deverá ser o custo real do insumo (descontado o valor eventualmente pago pelo empregado)</t>
        </r>
      </text>
    </comment>
    <comment ref="C95" authorId="2">
      <text>
        <r>
          <rPr>
            <b/>
            <sz val="12"/>
            <color indexed="81"/>
            <rFont val="Tahoma"/>
            <family val="2"/>
          </rPr>
          <t>Prof. Walter:</t>
        </r>
        <r>
          <rPr>
            <sz val="12"/>
            <color indexed="81"/>
            <rFont val="Tahoma"/>
            <family val="2"/>
          </rPr>
          <t xml:space="preserve">
Os tributos são calculados sobre o faturamento. Ou seja, somam-se os tributos (PIS, COFINS e ISS = 8,65) subtrai-se de 100 obtendo-se 9,135/100 = 0,9135, que representará os tributos a serem pagos </t>
        </r>
        <r>
          <rPr>
            <u/>
            <sz val="12"/>
            <color indexed="81"/>
            <rFont val="Tahoma"/>
            <family val="2"/>
          </rPr>
          <t>sem que o faturamento</t>
        </r>
        <r>
          <rPr>
            <sz val="12"/>
            <color indexed="81"/>
            <rFont val="Tahoma"/>
            <family val="2"/>
          </rPr>
          <t xml:space="preserve"> seja alterado. Trata-se de fórmula circular denominada "</t>
        </r>
        <r>
          <rPr>
            <sz val="12"/>
            <color indexed="10"/>
            <rFont val="Tahoma"/>
            <family val="2"/>
          </rPr>
          <t>CÁLCULO POR DENTRO</t>
        </r>
        <r>
          <rPr>
            <sz val="12"/>
            <color indexed="81"/>
            <rFont val="Tahoma"/>
            <family val="2"/>
          </rPr>
          <t xml:space="preserve">" 
Esse montante (0,9135) é aplicado sobre o somatório (M1+M2+M3+M4+CUSTOS INDIRETOS+LUCRO = TG cujo resultado servirá para a base de cálculo dos tributos.
TG/0,9135 = RESULTADO sobre o qual calcula-se o PIS, COFINS e ISS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comments8.xml><?xml version="1.0" encoding="utf-8"?>
<comments xmlns="http://schemas.openxmlformats.org/spreadsheetml/2006/main">
  <authors>
    <author>Walter S Gouvêa</author>
    <author>Profº Walter S. Gouvêa</author>
    <author>Prof. Walter</author>
  </authors>
  <commentList>
    <comment ref="A24" authorId="0">
      <text>
        <r>
          <rPr>
            <b/>
            <sz val="9"/>
            <color indexed="81"/>
            <rFont val="Tahoma"/>
            <family val="2"/>
          </rPr>
          <t>Walter S Gouvêa:</t>
        </r>
        <r>
          <rPr>
            <sz val="9"/>
            <color indexed="81"/>
            <rFont val="Tahoma"/>
            <family val="2"/>
          </rPr>
          <t xml:space="preserve">
Nota: o valor informado deverá ser o custo real do insumo (descontado o valor eventualmente pago pelo empregado).
</t>
        </r>
      </text>
    </comment>
    <comment ref="E25" authorId="1">
      <text>
        <r>
          <rPr>
            <b/>
            <sz val="9"/>
            <color indexed="81"/>
            <rFont val="Segoe UI"/>
            <family val="2"/>
          </rPr>
          <t>Profº Walter S. Gouvêa:</t>
        </r>
        <r>
          <rPr>
            <sz val="9"/>
            <color indexed="81"/>
            <rFont val="Segoe UI"/>
            <family val="2"/>
          </rPr>
          <t xml:space="preserve">
Nota: o valor informado deverá ser o custo real do insumo (descontado o valor eventualmente pago pelo empregado)</t>
        </r>
      </text>
    </comment>
    <comment ref="C95" authorId="2">
      <text>
        <r>
          <rPr>
            <b/>
            <sz val="12"/>
            <color indexed="81"/>
            <rFont val="Tahoma"/>
            <family val="2"/>
          </rPr>
          <t>Prof. Walter:</t>
        </r>
        <r>
          <rPr>
            <sz val="12"/>
            <color indexed="81"/>
            <rFont val="Tahoma"/>
            <family val="2"/>
          </rPr>
          <t xml:space="preserve">
Os tributos são calculados sobre o faturamento. Ou seja, somam-se os tributos (PIS, COFINS e ISS = 8,65) subtrai-se de 100 obtendo-se 9,135/100 = 0,9135, que representará os tributos a serem pagos </t>
        </r>
        <r>
          <rPr>
            <u/>
            <sz val="12"/>
            <color indexed="81"/>
            <rFont val="Tahoma"/>
            <family val="2"/>
          </rPr>
          <t>sem que o faturamento</t>
        </r>
        <r>
          <rPr>
            <sz val="12"/>
            <color indexed="81"/>
            <rFont val="Tahoma"/>
            <family val="2"/>
          </rPr>
          <t xml:space="preserve"> seja alterado. Trata-se de fórmula circular denominada "</t>
        </r>
        <r>
          <rPr>
            <sz val="12"/>
            <color indexed="10"/>
            <rFont val="Tahoma"/>
            <family val="2"/>
          </rPr>
          <t>CÁLCULO POR DENTRO</t>
        </r>
        <r>
          <rPr>
            <sz val="12"/>
            <color indexed="81"/>
            <rFont val="Tahoma"/>
            <family val="2"/>
          </rPr>
          <t xml:space="preserve">" 
Esse montante (0,9135) é aplicado sobre o somatório (M1+M2+M3+M4+CUSTOS INDIRETOS+LUCRO = TG cujo resultado servirá para a base de cálculo dos tributos.
TG/0,9135 = RESULTADO sobre o qual calcula-se o PIS, COFINS e ISS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<sst xmlns="http://schemas.openxmlformats.org/spreadsheetml/2006/main" count="1769" uniqueCount="170">
  <si>
    <t>Discriminação dos Serviços (dados referentes à contratação)</t>
  </si>
  <si>
    <t>A</t>
  </si>
  <si>
    <t>Data de apresentação da proposta (mês/ano)</t>
  </si>
  <si>
    <t>B</t>
  </si>
  <si>
    <t>Município/UF</t>
  </si>
  <si>
    <t>C</t>
  </si>
  <si>
    <t>Ano Acordo, Convenção ou Sentença Normativa em Dissídio Coletivo</t>
  </si>
  <si>
    <t>D</t>
  </si>
  <si>
    <t>Identificação do Serviço</t>
  </si>
  <si>
    <t>Tipo de Serviço</t>
  </si>
  <si>
    <t>Anexo III-A – Mão-de-obra</t>
  </si>
  <si>
    <t>Mão-de-obra vinculada à execução contratual</t>
  </si>
  <si>
    <t>Dados complementares para composição dos custos referente à mão-de-obra</t>
  </si>
  <si>
    <t>Valor (R$)</t>
  </si>
  <si>
    <t>Salário Normativo da Categoria Profissional</t>
  </si>
  <si>
    <t>Categoria profissional (vinculada à execução contratual)</t>
  </si>
  <si>
    <t>Data base da categoria (dia/mês/ano)</t>
  </si>
  <si>
    <t>MÓDULO 1 : COMPOSIÇÃO DA REMUNERAÇÃO</t>
  </si>
  <si>
    <t>Composição da Remuneração</t>
  </si>
  <si>
    <t>Salário</t>
  </si>
  <si>
    <t>E</t>
  </si>
  <si>
    <t>F</t>
  </si>
  <si>
    <t>G</t>
  </si>
  <si>
    <t>Outros (especificar)</t>
  </si>
  <si>
    <t>TOTAL DA REMUNERAÇÃO</t>
  </si>
  <si>
    <t>Benefícios Mensais e Diários</t>
  </si>
  <si>
    <t>TOTAL DE BENEFÍCIOS MENSAIS E DIÁRIOS</t>
  </si>
  <si>
    <t>MÓDULO 3: INSUMOS DIVERSOS</t>
  </si>
  <si>
    <t>Insumos Diversos</t>
  </si>
  <si>
    <t>TOTAL DE INSUMOS DIVERSOS</t>
  </si>
  <si>
    <t>MÓDULO 4: ENCARGOS SOCIAIS E TRABALHISTAS</t>
  </si>
  <si>
    <t>Submódulo 4.1 – Encargos previdenciários e FGTS:</t>
  </si>
  <si>
    <t>4.1</t>
  </si>
  <si>
    <t>Encargos previdenciários e FGTS</t>
  </si>
  <si>
    <t>H</t>
  </si>
  <si>
    <t>TOTAL</t>
  </si>
  <si>
    <t>Submódulo 4.2 – 13º Salário</t>
  </si>
  <si>
    <t>4.2</t>
  </si>
  <si>
    <t>13 º Salário</t>
  </si>
  <si>
    <t>Subtotal</t>
  </si>
  <si>
    <t>Incidência do Submódulo 4.1 sobre 13º Salário</t>
  </si>
  <si>
    <t>Submódulo 4.3 – Afastamento Maternidade</t>
  </si>
  <si>
    <t>4.3</t>
  </si>
  <si>
    <t>Afastamento Maternidade:</t>
  </si>
  <si>
    <t>Afastamento maternidade</t>
  </si>
  <si>
    <t>Incidência do submódulo 4.1 sobre afastamento maternidade</t>
  </si>
  <si>
    <t>Submódulo 4.4 - Provisão para Rescisão</t>
  </si>
  <si>
    <t>4.4</t>
  </si>
  <si>
    <t>Provisão para Rescisão</t>
  </si>
  <si>
    <t>Aviso prévio indenizado</t>
  </si>
  <si>
    <t>Aviso prévio trabalhado</t>
  </si>
  <si>
    <t>Submódulo 4.5 – Custo de Reposição do Profissional Ausente</t>
  </si>
  <si>
    <t>4.5</t>
  </si>
  <si>
    <t>Composição do Custo de Reposição do Profissional Ausente</t>
  </si>
  <si>
    <t>Férias E TERÇO CONSTITUCIONAL DE FÉRIAS</t>
  </si>
  <si>
    <t>Ausência por doença</t>
  </si>
  <si>
    <t>Licença paternidade</t>
  </si>
  <si>
    <t>Ausências legais</t>
  </si>
  <si>
    <t>Ausência por Acidente de trabalho</t>
  </si>
  <si>
    <t>Incidência do submódulo 4.1 sobre o Custo de reposição do profissional ausente</t>
  </si>
  <si>
    <t>Quadro – resumo – Módulo 4 – Encargos sociais e trabalhistas</t>
  </si>
  <si>
    <t>Módulo 4 – Encargos sociais e trabalhistas</t>
  </si>
  <si>
    <t xml:space="preserve">Encargos previdenciários, FGTS e outras contribuições </t>
  </si>
  <si>
    <t>13º (décimo-terceiro) salário</t>
  </si>
  <si>
    <t>Custo de rescisão</t>
  </si>
  <si>
    <t>Custo de reposição do profissional ausente</t>
  </si>
  <si>
    <t>4.6</t>
  </si>
  <si>
    <t>TOTAL DOS ENCARGOS SOCIAIS E TRABALHISTAS</t>
  </si>
  <si>
    <t>(M-T)      CUSTO TOTAL DA PLANILHA PARA EFEITO DE CÁLCULO DO MÓDULO 5 (M1+M2+M3+M4)</t>
  </si>
  <si>
    <t xml:space="preserve">MÓDULO 5 – CUSTOS INDIRETOS, TRIBUTOS E LUCRO </t>
  </si>
  <si>
    <t>nota1</t>
  </si>
  <si>
    <t>nota 2</t>
  </si>
  <si>
    <t>Custos Indiretos, Tributos e Lucro</t>
  </si>
  <si>
    <t>Custos Indiretos</t>
  </si>
  <si>
    <t>Lucro (MT + M5.A)</t>
  </si>
  <si>
    <t>Tributos</t>
  </si>
  <si>
    <t>C1. Tributos Federais</t>
  </si>
  <si>
    <t>C.2 Tributos Estaduais (especificar)</t>
  </si>
  <si>
    <t xml:space="preserve">C.3 Tributos Municipais </t>
  </si>
  <si>
    <t>TOTAL DOS TRIBUTOS</t>
  </si>
  <si>
    <t>TOTAL DOS CUSTOS INDIRETOS, TRIBUTOS E LUCRO</t>
  </si>
  <si>
    <t>Mão-de-obra vinculada à execução contratual (valor por empregado)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</si>
  <si>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</si>
  <si>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</si>
  <si>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</si>
  <si>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</si>
  <si>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</si>
  <si>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>Módulo 5 – Custos indiretos, tributos e lucro</t>
  </si>
  <si>
    <t>VALOR TOTAL POR EMPREGADO</t>
  </si>
  <si>
    <t>FATOR "K"</t>
  </si>
  <si>
    <r>
      <t>N</t>
    </r>
    <r>
      <rPr>
        <b/>
        <strike/>
        <sz val="11"/>
        <rFont val="Calibri"/>
        <family val="2"/>
        <scheme val="minor"/>
      </rPr>
      <t>º</t>
    </r>
    <r>
      <rPr>
        <b/>
        <sz val="11"/>
        <rFont val="Calibri"/>
        <family val="2"/>
        <scheme val="minor"/>
      </rPr>
      <t xml:space="preserve"> Processo</t>
    </r>
  </si>
  <si>
    <r>
      <t>Licitação N</t>
    </r>
    <r>
      <rPr>
        <b/>
        <strike/>
        <sz val="11"/>
        <rFont val="Calibri"/>
        <family val="2"/>
        <scheme val="minor"/>
      </rPr>
      <t>º</t>
    </r>
    <r>
      <rPr>
        <b/>
        <sz val="11"/>
        <rFont val="Calibri"/>
        <family val="2"/>
        <scheme val="minor"/>
      </rPr>
      <t xml:space="preserve"> </t>
    </r>
  </si>
  <si>
    <r>
      <t>N</t>
    </r>
    <r>
      <rPr>
        <strike/>
        <sz val="11"/>
        <rFont val="Calibri"/>
        <family val="2"/>
        <scheme val="minor"/>
      </rPr>
      <t>º</t>
    </r>
    <r>
      <rPr>
        <sz val="11"/>
        <rFont val="Calibri"/>
        <family val="2"/>
        <scheme val="minor"/>
      </rPr>
      <t xml:space="preserve"> de meses de execução contratual</t>
    </r>
  </si>
  <si>
    <r>
      <t>Tipo de serviço (</t>
    </r>
    <r>
      <rPr>
        <sz val="11"/>
        <color rgb="FF002060"/>
        <rFont val="Calibri"/>
        <family val="2"/>
        <scheme val="minor"/>
      </rPr>
      <t>mesmo serviço com características distintas</t>
    </r>
    <r>
      <rPr>
        <sz val="11"/>
        <rFont val="Calibri"/>
        <family val="2"/>
        <scheme val="minor"/>
      </rPr>
      <t>)</t>
    </r>
  </si>
  <si>
    <t>Subtotal  para   efeito  de  cálculo  do s Tributos  (MT + MA + MB) FATURAMENTO [(100-8,65)/100]</t>
  </si>
  <si>
    <t xml:space="preserve"> MÓDULO 2: BENEFÍCIOS MENSAIS E DIÁRIOS</t>
  </si>
  <si>
    <t>12 meses</t>
  </si>
  <si>
    <t xml:space="preserve">13º Salário </t>
  </si>
  <si>
    <r>
      <t xml:space="preserve">Incidência do FGTS </t>
    </r>
    <r>
      <rPr>
        <b/>
        <sz val="10"/>
        <rFont val="Calibri"/>
        <family val="2"/>
        <scheme val="minor"/>
      </rPr>
      <t>sobre aviso prévio indenizado</t>
    </r>
    <r>
      <rPr>
        <sz val="10"/>
        <rFont val="Calibri"/>
        <family val="2"/>
        <scheme val="minor"/>
      </rPr>
      <t xml:space="preserve"> </t>
    </r>
    <r>
      <rPr>
        <i/>
        <sz val="10"/>
        <color rgb="FF002060"/>
        <rFont val="Calibri"/>
        <family val="2"/>
        <scheme val="minor"/>
      </rPr>
      <t/>
    </r>
  </si>
  <si>
    <r>
      <t xml:space="preserve">Incidência do submódulo 4.1 </t>
    </r>
    <r>
      <rPr>
        <b/>
        <sz val="10"/>
        <rFont val="Calibri"/>
        <family val="2"/>
        <scheme val="minor"/>
      </rPr>
      <t>sobre aviso prévio trabalhado</t>
    </r>
  </si>
  <si>
    <t xml:space="preserve">Transporte </t>
  </si>
  <si>
    <t xml:space="preserve">C1-A  (PIS 0,65)   </t>
  </si>
  <si>
    <t xml:space="preserve">C1. B  (COFINS 3,0)  </t>
  </si>
  <si>
    <t xml:space="preserve">C3-A (ISS 5,0)  </t>
  </si>
  <si>
    <r>
      <t xml:space="preserve">Multa do FGTS do aviso prévio indenizado </t>
    </r>
    <r>
      <rPr>
        <b/>
        <sz val="10"/>
        <rFont val="Calibri"/>
        <family val="2"/>
        <scheme val="minor"/>
      </rPr>
      <t xml:space="preserve">sobre a </t>
    </r>
    <r>
      <rPr>
        <b/>
        <sz val="10"/>
        <color theme="5"/>
        <rFont val="Calibri"/>
        <family val="2"/>
        <scheme val="minor"/>
      </rPr>
      <t>Remuneração</t>
    </r>
  </si>
  <si>
    <r>
      <t xml:space="preserve">Multa do FGTS do aviso prévio trabalhado </t>
    </r>
    <r>
      <rPr>
        <b/>
        <sz val="10"/>
        <rFont val="Calibri"/>
        <family val="2"/>
        <scheme val="minor"/>
      </rPr>
      <t xml:space="preserve">sobre a </t>
    </r>
    <r>
      <rPr>
        <b/>
        <sz val="10"/>
        <color theme="5"/>
        <rFont val="Calibri"/>
        <family val="2"/>
        <scheme val="minor"/>
      </rPr>
      <t>Remuneração</t>
    </r>
    <r>
      <rPr>
        <b/>
        <sz val="10"/>
        <rFont val="Calibri"/>
        <family val="2"/>
        <scheme val="minor"/>
      </rPr>
      <t xml:space="preserve"> </t>
    </r>
  </si>
  <si>
    <t xml:space="preserve">Outros </t>
  </si>
  <si>
    <t>Outros</t>
  </si>
  <si>
    <t>1º DE JANEIRO</t>
  </si>
  <si>
    <t>Quantidade Total a Contratar</t>
  </si>
  <si>
    <t>Quantidade</t>
  </si>
  <si>
    <t>Valor Unitário</t>
  </si>
  <si>
    <t>Item</t>
  </si>
  <si>
    <t>Identificação</t>
  </si>
  <si>
    <t>Quant.     ( a )</t>
  </si>
  <si>
    <t>Total             ( c ) = a x b</t>
  </si>
  <si>
    <t>Valor mensal (e) = c / d</t>
  </si>
  <si>
    <t>Valor Unitário        (b)</t>
  </si>
  <si>
    <t>Vida útil em meses (d)</t>
  </si>
  <si>
    <t>1</t>
  </si>
  <si>
    <t>2</t>
  </si>
  <si>
    <t>3</t>
  </si>
  <si>
    <t>4</t>
  </si>
  <si>
    <t>Valor total mensal estimado (3A)</t>
  </si>
  <si>
    <t>UNIFORME: Incluídos nos preços mensais (3A)</t>
  </si>
  <si>
    <t>Senai ou Senac</t>
  </si>
  <si>
    <t>Salário Educação</t>
  </si>
  <si>
    <t>Inss</t>
  </si>
  <si>
    <t>Sesi ou Sesc</t>
  </si>
  <si>
    <t>Fgts</t>
  </si>
  <si>
    <t>Percentual</t>
  </si>
  <si>
    <t>2016/2016 - Registro no MTE: PE000143/2016</t>
  </si>
  <si>
    <t xml:space="preserve">Cesta Básica </t>
  </si>
  <si>
    <t xml:space="preserve">Auxílio alimentação </t>
  </si>
  <si>
    <t>Contribuição Sindical</t>
  </si>
  <si>
    <t>Local</t>
  </si>
  <si>
    <t xml:space="preserve">Valor Unitário </t>
  </si>
  <si>
    <t>Valor Mensal</t>
  </si>
  <si>
    <t>Valor Anual</t>
  </si>
  <si>
    <t>Recife-PE (Sede)</t>
  </si>
  <si>
    <t>Recepcionista</t>
  </si>
  <si>
    <t>Recife-PE (CEE)</t>
  </si>
  <si>
    <t>Cabo-PE</t>
  </si>
  <si>
    <t>Goiana-PE</t>
  </si>
  <si>
    <t>Caruaru-PE</t>
  </si>
  <si>
    <t>Garanhuns-PE</t>
  </si>
  <si>
    <t>Serra Talhada-PE</t>
  </si>
  <si>
    <t>Petrolina-PE</t>
  </si>
  <si>
    <t>Araripina-PE</t>
  </si>
  <si>
    <t>Valor do Serviço - Resumo</t>
  </si>
  <si>
    <t>5</t>
  </si>
  <si>
    <t>Quantidade Recepcionistas</t>
  </si>
  <si>
    <t>Blazer</t>
  </si>
  <si>
    <t>Calça ou Saia</t>
  </si>
  <si>
    <t>6</t>
  </si>
  <si>
    <t>Lenço</t>
  </si>
  <si>
    <t>Blusa</t>
  </si>
  <si>
    <t>7</t>
  </si>
  <si>
    <t>Laço para Cabelo</t>
  </si>
  <si>
    <t>8</t>
  </si>
  <si>
    <t>Par de Meias 3/4 ou meia-calça</t>
  </si>
  <si>
    <t>Par de Sapatos</t>
  </si>
  <si>
    <t>Crachá</t>
  </si>
  <si>
    <t>OBS: a especificação do Uniforme está descrita no Termo de Referência</t>
  </si>
  <si>
    <t>Contribuição para empresa gestora)</t>
  </si>
  <si>
    <t>Incra</t>
  </si>
  <si>
    <t>Subtotal  para   efeito  de  cálculo  dos Tributos  (MT + MA + MB) FATURAMENTO [(100-8,65)/100]</t>
  </si>
  <si>
    <t>Uniformes (Planilha Uniforme)</t>
  </si>
  <si>
    <t>Sebrae</t>
  </si>
  <si>
    <t>Seguro Acid,. Trabalho ou R.A.T.</t>
  </si>
</sst>
</file>

<file path=xl/styles.xml><?xml version="1.0" encoding="utf-8"?>
<styleSheet xmlns="http://schemas.openxmlformats.org/spreadsheetml/2006/main">
  <numFmts count="9">
    <numFmt numFmtId="44" formatCode="_-&quot;R$&quot;\ * #,##0.00_-;\-&quot;R$&quot;\ * #,##0.00_-;_-&quot;R$&quot;\ * &quot;-&quot;??_-;_-@_-"/>
    <numFmt numFmtId="164" formatCode="0.000%"/>
    <numFmt numFmtId="165" formatCode="0.000"/>
    <numFmt numFmtId="166" formatCode="0.0000"/>
    <numFmt numFmtId="167" formatCode="0.00000"/>
    <numFmt numFmtId="168" formatCode="0.000000000000000"/>
    <numFmt numFmtId="169" formatCode="0.0000%"/>
    <numFmt numFmtId="170" formatCode="0.0000000"/>
    <numFmt numFmtId="171" formatCode="0.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i/>
      <sz val="10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sz val="12"/>
      <color indexed="1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224">
    <xf numFmtId="0" fontId="0" fillId="0" borderId="0" xfId="0"/>
    <xf numFmtId="0" fontId="1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4" xfId="3" applyFont="1" applyFill="1" applyBorder="1" applyAlignment="1" applyProtection="1">
      <alignment horizontal="right" vertical="center" wrapText="1"/>
    </xf>
    <xf numFmtId="4" fontId="7" fillId="4" borderId="4" xfId="5" applyNumberFormat="1" applyFont="1" applyFill="1" applyBorder="1" applyAlignment="1" applyProtection="1">
      <alignment vertical="center" wrapText="1"/>
    </xf>
    <xf numFmtId="0" fontId="17" fillId="0" borderId="4" xfId="4" applyFont="1" applyFill="1" applyBorder="1" applyAlignment="1" applyProtection="1">
      <alignment horizontal="justify" vertical="center" wrapText="1"/>
    </xf>
    <xf numFmtId="0" fontId="17" fillId="0" borderId="4" xfId="0" applyFont="1" applyFill="1" applyBorder="1" applyAlignment="1" applyProtection="1">
      <alignment horizontal="justify" vertical="center"/>
    </xf>
    <xf numFmtId="4" fontId="2" fillId="5" borderId="4" xfId="0" applyNumberFormat="1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2" fillId="6" borderId="4" xfId="5" applyFont="1" applyFill="1" applyBorder="1" applyAlignment="1" applyProtection="1">
      <alignment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center"/>
    </xf>
    <xf numFmtId="44" fontId="18" fillId="0" borderId="4" xfId="1" applyFont="1" applyFill="1" applyBorder="1" applyAlignment="1" applyProtection="1">
      <alignment vertical="center"/>
    </xf>
    <xf numFmtId="44" fontId="18" fillId="2" borderId="4" xfId="1" quotePrefix="1" applyFont="1" applyFill="1" applyBorder="1" applyAlignment="1" applyProtection="1">
      <alignment vertical="center"/>
    </xf>
    <xf numFmtId="4" fontId="17" fillId="2" borderId="0" xfId="0" applyNumberFormat="1" applyFont="1" applyFill="1" applyBorder="1" applyAlignment="1" applyProtection="1">
      <alignment vertical="center"/>
    </xf>
    <xf numFmtId="0" fontId="17" fillId="0" borderId="4" xfId="5" applyFont="1" applyFill="1" applyBorder="1" applyAlignment="1" applyProtection="1">
      <alignment vertical="center" wrapText="1"/>
    </xf>
    <xf numFmtId="44" fontId="18" fillId="2" borderId="4" xfId="1" applyFont="1" applyFill="1" applyBorder="1" applyAlignment="1" applyProtection="1">
      <alignment vertical="center"/>
    </xf>
    <xf numFmtId="44" fontId="18" fillId="7" borderId="4" xfId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4" borderId="1" xfId="5" applyFont="1" applyFill="1" applyBorder="1" applyAlignment="1" applyProtection="1">
      <alignment vertical="center" wrapText="1"/>
    </xf>
    <xf numFmtId="0" fontId="17" fillId="0" borderId="4" xfId="5" applyFont="1" applyFill="1" applyBorder="1" applyAlignment="1" applyProtection="1">
      <alignment horizontal="center" vertical="center" wrapText="1"/>
    </xf>
    <xf numFmtId="44" fontId="18" fillId="2" borderId="4" xfId="1" applyFont="1" applyFill="1" applyBorder="1" applyAlignment="1" applyProtection="1">
      <alignment horizontal="right" vertical="center"/>
    </xf>
    <xf numFmtId="165" fontId="17" fillId="2" borderId="0" xfId="0" applyNumberFormat="1" applyFont="1" applyFill="1" applyBorder="1" applyAlignment="1" applyProtection="1">
      <alignment vertical="center"/>
    </xf>
    <xf numFmtId="0" fontId="17" fillId="0" borderId="2" xfId="0" applyFont="1" applyBorder="1" applyAlignment="1" applyProtection="1">
      <alignment horizontal="center" vertical="center"/>
    </xf>
    <xf numFmtId="0" fontId="18" fillId="0" borderId="4" xfId="2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17" fillId="0" borderId="3" xfId="0" applyFont="1" applyBorder="1" applyAlignment="1" applyProtection="1">
      <alignment horizontal="center" vertical="center"/>
    </xf>
    <xf numFmtId="168" fontId="18" fillId="2" borderId="0" xfId="0" applyNumberFormat="1" applyFont="1" applyFill="1" applyBorder="1" applyAlignment="1" applyProtection="1">
      <alignment vertical="center"/>
    </xf>
    <xf numFmtId="166" fontId="18" fillId="2" borderId="0" xfId="0" applyNumberFormat="1" applyFont="1" applyFill="1" applyBorder="1" applyAlignment="1" applyProtection="1">
      <alignment vertical="center"/>
    </xf>
    <xf numFmtId="165" fontId="18" fillId="2" borderId="0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166" fontId="7" fillId="2" borderId="0" xfId="0" applyNumberFormat="1" applyFont="1" applyFill="1" applyBorder="1" applyAlignment="1" applyProtection="1">
      <alignment vertical="center"/>
    </xf>
    <xf numFmtId="0" fontId="2" fillId="6" borderId="4" xfId="5" applyFont="1" applyFill="1" applyBorder="1" applyAlignment="1" applyProtection="1">
      <alignment horizontal="right" vertical="center" wrapText="1"/>
    </xf>
    <xf numFmtId="10" fontId="18" fillId="0" borderId="4" xfId="2" applyNumberFormat="1" applyFont="1" applyFill="1" applyBorder="1" applyAlignment="1" applyProtection="1">
      <alignment vertical="center"/>
    </xf>
    <xf numFmtId="167" fontId="18" fillId="2" borderId="0" xfId="0" applyNumberFormat="1" applyFont="1" applyFill="1" applyBorder="1" applyAlignment="1" applyProtection="1">
      <alignment vertical="center"/>
    </xf>
    <xf numFmtId="2" fontId="18" fillId="2" borderId="0" xfId="0" applyNumberFormat="1" applyFont="1" applyFill="1" applyBorder="1" applyAlignment="1" applyProtection="1">
      <alignment vertical="center"/>
    </xf>
    <xf numFmtId="171" fontId="18" fillId="2" borderId="0" xfId="0" applyNumberFormat="1" applyFont="1" applyFill="1" applyBorder="1" applyAlignment="1" applyProtection="1">
      <alignment vertical="center"/>
    </xf>
    <xf numFmtId="4" fontId="18" fillId="0" borderId="4" xfId="0" applyNumberFormat="1" applyFont="1" applyFill="1" applyBorder="1" applyAlignment="1" applyProtection="1">
      <alignment vertical="center"/>
    </xf>
    <xf numFmtId="170" fontId="18" fillId="2" borderId="0" xfId="0" applyNumberFormat="1" applyFont="1" applyFill="1" applyBorder="1" applyAlignment="1" applyProtection="1">
      <alignment vertical="center"/>
    </xf>
    <xf numFmtId="10" fontId="18" fillId="7" borderId="4" xfId="2" applyNumberFormat="1" applyFont="1" applyFill="1" applyBorder="1" applyAlignment="1" applyProtection="1">
      <alignment vertical="center"/>
    </xf>
    <xf numFmtId="164" fontId="18" fillId="0" borderId="4" xfId="2" applyNumberFormat="1" applyFont="1" applyFill="1" applyBorder="1" applyAlignment="1" applyProtection="1">
      <alignment vertical="center"/>
    </xf>
    <xf numFmtId="164" fontId="18" fillId="7" borderId="4" xfId="2" applyNumberFormat="1" applyFont="1" applyFill="1" applyBorder="1" applyAlignment="1" applyProtection="1">
      <alignment vertical="center"/>
    </xf>
    <xf numFmtId="164" fontId="17" fillId="7" borderId="4" xfId="0" applyNumberFormat="1" applyFont="1" applyFill="1" applyBorder="1" applyAlignment="1" applyProtection="1">
      <alignment vertical="center" wrapText="1"/>
    </xf>
    <xf numFmtId="10" fontId="18" fillId="2" borderId="0" xfId="0" applyNumberFormat="1" applyFont="1" applyFill="1" applyBorder="1" applyAlignment="1" applyProtection="1">
      <alignment vertical="center"/>
    </xf>
    <xf numFmtId="166" fontId="18" fillId="2" borderId="0" xfId="2" applyNumberFormat="1" applyFont="1" applyFill="1" applyBorder="1" applyAlignment="1" applyProtection="1">
      <alignment vertical="center"/>
    </xf>
    <xf numFmtId="1" fontId="18" fillId="2" borderId="0" xfId="2" quotePrefix="1" applyNumberFormat="1" applyFont="1" applyFill="1" applyBorder="1" applyAlignment="1" applyProtection="1">
      <alignment vertical="center"/>
    </xf>
    <xf numFmtId="9" fontId="18" fillId="2" borderId="0" xfId="2" quotePrefix="1" applyFont="1" applyFill="1" applyBorder="1" applyAlignment="1" applyProtection="1">
      <alignment vertical="center"/>
    </xf>
    <xf numFmtId="169" fontId="18" fillId="2" borderId="0" xfId="0" applyNumberFormat="1" applyFont="1" applyFill="1" applyBorder="1" applyAlignment="1" applyProtection="1">
      <alignment vertical="center"/>
    </xf>
    <xf numFmtId="0" fontId="24" fillId="0" borderId="4" xfId="5" applyFont="1" applyFill="1" applyBorder="1" applyAlignment="1" applyProtection="1">
      <alignment horizontal="center" vertical="center" wrapText="1"/>
    </xf>
    <xf numFmtId="164" fontId="25" fillId="0" borderId="4" xfId="2" applyNumberFormat="1" applyFont="1" applyFill="1" applyBorder="1" applyAlignment="1" applyProtection="1">
      <alignment vertical="center"/>
    </xf>
    <xf numFmtId="164" fontId="25" fillId="7" borderId="4" xfId="5" applyNumberFormat="1" applyFont="1" applyFill="1" applyBorder="1" applyAlignment="1" applyProtection="1">
      <alignment vertical="center" wrapText="1"/>
    </xf>
    <xf numFmtId="4" fontId="18" fillId="2" borderId="0" xfId="0" applyNumberFormat="1" applyFont="1" applyFill="1" applyBorder="1" applyAlignment="1" applyProtection="1">
      <alignment vertical="center"/>
    </xf>
    <xf numFmtId="0" fontId="18" fillId="0" borderId="4" xfId="0" applyFont="1" applyFill="1" applyBorder="1" applyAlignment="1" applyProtection="1">
      <alignment horizontal="justify" vertical="center"/>
    </xf>
    <xf numFmtId="164" fontId="2" fillId="7" borderId="4" xfId="5" applyNumberFormat="1" applyFont="1" applyFill="1" applyBorder="1" applyAlignment="1" applyProtection="1">
      <alignment vertical="center" wrapText="1"/>
    </xf>
    <xf numFmtId="164" fontId="2" fillId="7" borderId="3" xfId="5" applyNumberFormat="1" applyFont="1" applyFill="1" applyBorder="1" applyAlignment="1" applyProtection="1">
      <alignment vertical="center" wrapText="1"/>
    </xf>
    <xf numFmtId="4" fontId="18" fillId="4" borderId="4" xfId="5" applyNumberFormat="1" applyFont="1" applyFill="1" applyBorder="1" applyAlignment="1" applyProtection="1">
      <alignment vertical="center" wrapText="1"/>
    </xf>
    <xf numFmtId="0" fontId="18" fillId="0" borderId="4" xfId="5" applyFont="1" applyFill="1" applyBorder="1" applyAlignment="1" applyProtection="1">
      <alignment vertical="center" wrapText="1"/>
    </xf>
    <xf numFmtId="0" fontId="18" fillId="0" borderId="5" xfId="5" applyFont="1" applyFill="1" applyBorder="1" applyAlignment="1" applyProtection="1">
      <alignment horizontal="left" vertical="center" wrapText="1"/>
    </xf>
    <xf numFmtId="0" fontId="18" fillId="0" borderId="6" xfId="5" applyFont="1" applyFill="1" applyBorder="1" applyAlignment="1" applyProtection="1">
      <alignment horizontal="left" vertical="center" wrapText="1"/>
    </xf>
    <xf numFmtId="0" fontId="18" fillId="0" borderId="11" xfId="5" applyFont="1" applyFill="1" applyBorder="1" applyAlignment="1" applyProtection="1">
      <alignment horizontal="left" vertical="center" wrapText="1"/>
    </xf>
    <xf numFmtId="0" fontId="17" fillId="0" borderId="1" xfId="5" applyFont="1" applyFill="1" applyBorder="1" applyAlignment="1" applyProtection="1">
      <alignment vertical="center" wrapText="1"/>
    </xf>
    <xf numFmtId="0" fontId="18" fillId="0" borderId="2" xfId="0" applyFont="1" applyFill="1" applyBorder="1" applyAlignment="1" applyProtection="1">
      <alignment horizontal="justify" vertical="center"/>
    </xf>
    <xf numFmtId="0" fontId="18" fillId="0" borderId="1" xfId="5" applyFont="1" applyFill="1" applyBorder="1" applyAlignment="1" applyProtection="1">
      <alignment vertical="center"/>
    </xf>
    <xf numFmtId="0" fontId="17" fillId="0" borderId="2" xfId="5" applyFont="1" applyFill="1" applyBorder="1" applyAlignment="1" applyProtection="1">
      <alignment vertical="center"/>
    </xf>
    <xf numFmtId="0" fontId="18" fillId="2" borderId="4" xfId="0" applyFont="1" applyFill="1" applyBorder="1" applyAlignment="1" applyProtection="1">
      <alignment vertical="center"/>
    </xf>
    <xf numFmtId="0" fontId="17" fillId="0" borderId="4" xfId="5" applyFont="1" applyFill="1" applyBorder="1" applyAlignment="1" applyProtection="1">
      <alignment vertical="center"/>
    </xf>
    <xf numFmtId="0" fontId="17" fillId="0" borderId="5" xfId="5" applyFont="1" applyFill="1" applyBorder="1" applyAlignment="1" applyProtection="1">
      <alignment vertical="center" wrapText="1"/>
    </xf>
    <xf numFmtId="0" fontId="18" fillId="0" borderId="6" xfId="0" applyFont="1" applyFill="1" applyBorder="1" applyAlignment="1" applyProtection="1">
      <alignment horizontal="justify" vertical="center"/>
    </xf>
    <xf numFmtId="0" fontId="18" fillId="0" borderId="13" xfId="5" applyFont="1" applyFill="1" applyBorder="1" applyAlignment="1" applyProtection="1">
      <alignment vertical="center" wrapText="1"/>
    </xf>
    <xf numFmtId="0" fontId="18" fillId="2" borderId="14" xfId="0" applyFont="1" applyFill="1" applyBorder="1" applyAlignment="1" applyProtection="1">
      <alignment vertical="center"/>
    </xf>
    <xf numFmtId="164" fontId="18" fillId="2" borderId="14" xfId="0" applyNumberFormat="1" applyFont="1" applyFill="1" applyBorder="1" applyAlignment="1" applyProtection="1">
      <alignment vertical="center"/>
    </xf>
    <xf numFmtId="4" fontId="18" fillId="7" borderId="4" xfId="5" applyNumberFormat="1" applyFont="1" applyFill="1" applyBorder="1" applyAlignment="1" applyProtection="1">
      <alignment horizontal="center" vertical="center" wrapText="1"/>
    </xf>
    <xf numFmtId="164" fontId="2" fillId="7" borderId="4" xfId="2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justify" vertical="center"/>
    </xf>
    <xf numFmtId="164" fontId="2" fillId="0" borderId="0" xfId="2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164" fontId="18" fillId="8" borderId="4" xfId="2" applyNumberFormat="1" applyFont="1" applyFill="1" applyBorder="1" applyAlignment="1" applyProtection="1">
      <alignment vertical="center"/>
      <protection locked="0"/>
    </xf>
    <xf numFmtId="164" fontId="18" fillId="8" borderId="16" xfId="2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44" fontId="3" fillId="11" borderId="4" xfId="1" applyFont="1" applyFill="1" applyBorder="1" applyProtection="1"/>
    <xf numFmtId="0" fontId="28" fillId="0" borderId="0" xfId="0" applyFont="1" applyProtection="1"/>
    <xf numFmtId="0" fontId="28" fillId="0" borderId="4" xfId="0" applyFont="1" applyFill="1" applyBorder="1" applyAlignment="1" applyProtection="1">
      <alignment vertical="center" wrapText="1"/>
    </xf>
    <xf numFmtId="44" fontId="28" fillId="0" borderId="4" xfId="1" applyFont="1" applyFill="1" applyBorder="1" applyAlignment="1" applyProtection="1">
      <alignment vertical="center" wrapText="1"/>
    </xf>
    <xf numFmtId="44" fontId="18" fillId="0" borderId="4" xfId="1" applyFont="1" applyFill="1" applyBorder="1" applyAlignment="1" applyProtection="1">
      <alignment horizontal="center" vertical="center"/>
    </xf>
    <xf numFmtId="44" fontId="18" fillId="0" borderId="12" xfId="1" applyFont="1" applyFill="1" applyBorder="1" applyAlignment="1" applyProtection="1">
      <alignment vertical="center"/>
    </xf>
    <xf numFmtId="44" fontId="25" fillId="0" borderId="4" xfId="1" applyFont="1" applyFill="1" applyBorder="1" applyAlignment="1" applyProtection="1">
      <alignment vertical="center"/>
    </xf>
    <xf numFmtId="44" fontId="25" fillId="7" borderId="4" xfId="1" applyFont="1" applyFill="1" applyBorder="1" applyAlignment="1" applyProtection="1">
      <alignment vertical="center"/>
    </xf>
    <xf numFmtId="44" fontId="18" fillId="9" borderId="4" xfId="1" applyFont="1" applyFill="1" applyBorder="1" applyAlignment="1" applyProtection="1">
      <alignment horizontal="right" vertical="center"/>
    </xf>
    <xf numFmtId="44" fontId="18" fillId="0" borderId="11" xfId="1" applyFont="1" applyFill="1" applyBorder="1" applyAlignment="1" applyProtection="1">
      <alignment vertical="center"/>
    </xf>
    <xf numFmtId="44" fontId="18" fillId="2" borderId="15" xfId="1" applyFont="1" applyFill="1" applyBorder="1" applyAlignment="1" applyProtection="1">
      <alignment vertical="center"/>
    </xf>
    <xf numFmtId="44" fontId="18" fillId="7" borderId="12" xfId="1" applyFont="1" applyFill="1" applyBorder="1" applyAlignment="1" applyProtection="1">
      <alignment vertical="center"/>
    </xf>
    <xf numFmtId="44" fontId="26" fillId="9" borderId="11" xfId="1" applyFont="1" applyFill="1" applyBorder="1" applyAlignment="1" applyProtection="1">
      <alignment vertical="center"/>
    </xf>
    <xf numFmtId="0" fontId="29" fillId="10" borderId="4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4" xfId="0" applyBorder="1"/>
    <xf numFmtId="44" fontId="0" fillId="0" borderId="4" xfId="1" applyFont="1" applyBorder="1"/>
    <xf numFmtId="44" fontId="18" fillId="0" borderId="0" xfId="1" applyFont="1" applyAlignment="1" applyProtection="1">
      <alignment horizontal="center" vertical="center"/>
    </xf>
    <xf numFmtId="0" fontId="28" fillId="0" borderId="4" xfId="0" applyFont="1" applyFill="1" applyBorder="1" applyAlignment="1" applyProtection="1">
      <alignment horizontal="center" vertical="center" wrapText="1"/>
    </xf>
    <xf numFmtId="4" fontId="18" fillId="0" borderId="0" xfId="0" applyNumberFormat="1" applyFont="1" applyFill="1" applyBorder="1" applyAlignment="1" applyProtection="1">
      <alignment vertical="center"/>
    </xf>
    <xf numFmtId="44" fontId="0" fillId="8" borderId="4" xfId="1" applyFont="1" applyFill="1" applyBorder="1" applyProtection="1">
      <protection locked="0"/>
    </xf>
    <xf numFmtId="44" fontId="30" fillId="7" borderId="4" xfId="1" applyFont="1" applyFill="1" applyBorder="1" applyAlignment="1" applyProtection="1">
      <alignment vertical="center" wrapText="1"/>
    </xf>
    <xf numFmtId="0" fontId="0" fillId="0" borderId="4" xfId="0" applyFont="1" applyBorder="1"/>
    <xf numFmtId="0" fontId="3" fillId="8" borderId="0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18" fillId="0" borderId="4" xfId="5" applyFont="1" applyFill="1" applyBorder="1" applyAlignment="1" applyProtection="1">
      <alignment horizontal="center" vertical="center" wrapText="1"/>
    </xf>
    <xf numFmtId="0" fontId="18" fillId="0" borderId="1" xfId="5" applyFont="1" applyFill="1" applyBorder="1" applyAlignment="1" applyProtection="1">
      <alignment horizontal="left" vertical="center" wrapText="1"/>
    </xf>
    <xf numFmtId="10" fontId="18" fillId="2" borderId="4" xfId="2" applyNumberFormat="1" applyFont="1" applyFill="1" applyBorder="1" applyAlignment="1" applyProtection="1">
      <alignment vertical="center"/>
    </xf>
    <xf numFmtId="164" fontId="18" fillId="0" borderId="0" xfId="2" applyNumberFormat="1" applyFont="1" applyFill="1" applyBorder="1" applyAlignment="1" applyProtection="1">
      <alignment vertical="center"/>
    </xf>
    <xf numFmtId="169" fontId="18" fillId="0" borderId="4" xfId="2" applyNumberFormat="1" applyFont="1" applyFill="1" applyBorder="1" applyAlignment="1" applyProtection="1">
      <alignment vertical="center"/>
    </xf>
    <xf numFmtId="0" fontId="7" fillId="7" borderId="1" xfId="5" applyFont="1" applyFill="1" applyBorder="1" applyAlignment="1" applyProtection="1">
      <alignment horizontal="right" vertical="center" wrapText="1"/>
    </xf>
    <xf numFmtId="0" fontId="7" fillId="7" borderId="2" xfId="5" applyFont="1" applyFill="1" applyBorder="1" applyAlignment="1" applyProtection="1">
      <alignment horizontal="right" vertical="center" wrapText="1"/>
    </xf>
    <xf numFmtId="0" fontId="7" fillId="7" borderId="3" xfId="5" applyFont="1" applyFill="1" applyBorder="1" applyAlignment="1" applyProtection="1">
      <alignment horizontal="right" vertical="center" wrapText="1"/>
    </xf>
    <xf numFmtId="0" fontId="18" fillId="7" borderId="1" xfId="5" applyFont="1" applyFill="1" applyBorder="1" applyAlignment="1" applyProtection="1">
      <alignment horizontal="right" vertical="center" wrapText="1"/>
    </xf>
    <xf numFmtId="0" fontId="18" fillId="7" borderId="2" xfId="5" applyFont="1" applyFill="1" applyBorder="1" applyAlignment="1" applyProtection="1">
      <alignment horizontal="right" vertical="center" wrapText="1"/>
    </xf>
    <xf numFmtId="0" fontId="1" fillId="7" borderId="3" xfId="0" applyFont="1" applyFill="1" applyBorder="1" applyAlignment="1" applyProtection="1">
      <alignment horizontal="right" vertical="center" wrapText="1"/>
    </xf>
    <xf numFmtId="0" fontId="7" fillId="4" borderId="1" xfId="5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justify" vertical="center"/>
    </xf>
    <xf numFmtId="0" fontId="18" fillId="0" borderId="3" xfId="0" applyFont="1" applyFill="1" applyBorder="1" applyAlignment="1" applyProtection="1">
      <alignment horizontal="justify" vertical="center"/>
    </xf>
    <xf numFmtId="164" fontId="18" fillId="0" borderId="1" xfId="2" applyNumberFormat="1" applyFont="1" applyFill="1" applyBorder="1" applyAlignment="1" applyProtection="1">
      <alignment horizontal="justify" vertical="center"/>
    </xf>
    <xf numFmtId="164" fontId="18" fillId="0" borderId="3" xfId="2" applyNumberFormat="1" applyFont="1" applyFill="1" applyBorder="1" applyAlignment="1" applyProtection="1">
      <alignment horizontal="justify" vertical="center"/>
    </xf>
    <xf numFmtId="0" fontId="2" fillId="5" borderId="1" xfId="5" applyFont="1" applyFill="1" applyBorder="1" applyAlignment="1" applyProtection="1">
      <alignment horizontal="center" vertical="center"/>
    </xf>
    <xf numFmtId="0" fontId="2" fillId="5" borderId="2" xfId="5" applyFont="1" applyFill="1" applyBorder="1" applyAlignment="1" applyProtection="1">
      <alignment horizontal="center" vertical="center"/>
    </xf>
    <xf numFmtId="0" fontId="2" fillId="5" borderId="3" xfId="5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0" fontId="18" fillId="0" borderId="1" xfId="5" applyFont="1" applyFill="1" applyBorder="1" applyAlignment="1" applyProtection="1">
      <alignment horizontal="center" vertical="center" wrapText="1"/>
    </xf>
    <xf numFmtId="0" fontId="18" fillId="0" borderId="2" xfId="5" applyFont="1" applyFill="1" applyBorder="1" applyAlignment="1" applyProtection="1">
      <alignment horizontal="center" vertical="center" wrapText="1"/>
    </xf>
    <xf numFmtId="0" fontId="18" fillId="0" borderId="3" xfId="5" applyFont="1" applyFill="1" applyBorder="1" applyAlignment="1" applyProtection="1">
      <alignment horizontal="center" vertical="center" wrapText="1"/>
    </xf>
    <xf numFmtId="0" fontId="24" fillId="0" borderId="1" xfId="5" applyFont="1" applyFill="1" applyBorder="1" applyAlignment="1" applyProtection="1">
      <alignment horizontal="center" vertical="center" wrapText="1"/>
    </xf>
    <xf numFmtId="0" fontId="24" fillId="0" borderId="3" xfId="5" applyFont="1" applyFill="1" applyBorder="1" applyAlignment="1" applyProtection="1">
      <alignment horizontal="center" vertical="center" wrapText="1"/>
    </xf>
    <xf numFmtId="0" fontId="17" fillId="0" borderId="1" xfId="5" applyFont="1" applyFill="1" applyBorder="1" applyAlignment="1" applyProtection="1">
      <alignment horizontal="center" vertical="center" wrapText="1"/>
    </xf>
    <xf numFmtId="0" fontId="17" fillId="0" borderId="3" xfId="5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18" fillId="0" borderId="1" xfId="3" applyFont="1" applyFill="1" applyBorder="1" applyAlignment="1" applyProtection="1">
      <alignment horizontal="right" vertical="center" wrapText="1"/>
    </xf>
    <xf numFmtId="0" fontId="18" fillId="0" borderId="2" xfId="3" applyFont="1" applyFill="1" applyBorder="1" applyAlignment="1" applyProtection="1">
      <alignment horizontal="right" vertical="center" wrapText="1"/>
    </xf>
    <xf numFmtId="0" fontId="18" fillId="0" borderId="3" xfId="3" applyFont="1" applyFill="1" applyBorder="1" applyAlignment="1" applyProtection="1">
      <alignment horizontal="right" vertical="center" wrapText="1"/>
    </xf>
    <xf numFmtId="0" fontId="18" fillId="2" borderId="4" xfId="3" quotePrefix="1" applyFont="1" applyFill="1" applyBorder="1" applyAlignment="1" applyProtection="1">
      <alignment horizontal="center" vertical="center" wrapText="1"/>
      <protection locked="0"/>
    </xf>
    <xf numFmtId="0" fontId="18" fillId="2" borderId="4" xfId="3" applyFont="1" applyFill="1" applyBorder="1" applyAlignment="1" applyProtection="1">
      <alignment horizontal="center" vertical="center" wrapText="1"/>
      <protection locked="0"/>
    </xf>
    <xf numFmtId="17" fontId="18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4" applyFont="1" applyFill="1" applyBorder="1" applyAlignment="1" applyProtection="1">
      <alignment horizontal="center" vertical="center" wrapText="1"/>
    </xf>
    <xf numFmtId="0" fontId="21" fillId="0" borderId="2" xfId="4" applyFont="1" applyFill="1" applyBorder="1" applyAlignment="1" applyProtection="1">
      <alignment horizontal="center" vertical="center" wrapText="1"/>
    </xf>
    <xf numFmtId="0" fontId="21" fillId="0" borderId="3" xfId="4" applyFont="1" applyFill="1" applyBorder="1" applyAlignment="1" applyProtection="1">
      <alignment horizontal="center" vertical="center" wrapText="1"/>
    </xf>
    <xf numFmtId="0" fontId="18" fillId="3" borderId="1" xfId="3" applyFont="1" applyFill="1" applyBorder="1" applyAlignment="1" applyProtection="1">
      <alignment horizontal="center" vertical="center"/>
    </xf>
    <xf numFmtId="0" fontId="18" fillId="3" borderId="2" xfId="3" applyFont="1" applyFill="1" applyBorder="1" applyAlignment="1" applyProtection="1">
      <alignment horizontal="center" vertical="center"/>
    </xf>
    <xf numFmtId="0" fontId="18" fillId="3" borderId="3" xfId="3" applyFont="1" applyFill="1" applyBorder="1" applyAlignment="1" applyProtection="1">
      <alignment horizontal="center" vertical="center"/>
    </xf>
    <xf numFmtId="17" fontId="18" fillId="2" borderId="1" xfId="0" applyNumberFormat="1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18" fillId="2" borderId="1" xfId="3" applyFont="1" applyFill="1" applyBorder="1" applyAlignment="1" applyProtection="1">
      <alignment horizontal="center" vertical="center" wrapText="1"/>
    </xf>
    <xf numFmtId="0" fontId="18" fillId="2" borderId="2" xfId="3" applyFont="1" applyFill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center" vertical="center" wrapText="1"/>
    </xf>
    <xf numFmtId="0" fontId="2" fillId="3" borderId="1" xfId="3" applyFont="1" applyFill="1" applyBorder="1" applyAlignment="1" applyProtection="1">
      <alignment horizontal="center" vertic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3" borderId="3" xfId="3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18" fillId="2" borderId="4" xfId="4" applyFont="1" applyFill="1" applyBorder="1" applyAlignment="1" applyProtection="1">
      <alignment horizontal="center" vertical="center" wrapText="1"/>
    </xf>
    <xf numFmtId="0" fontId="2" fillId="3" borderId="5" xfId="3" applyFont="1" applyFill="1" applyBorder="1" applyAlignment="1" applyProtection="1">
      <alignment horizontal="center" vertical="center"/>
    </xf>
    <xf numFmtId="0" fontId="2" fillId="3" borderId="6" xfId="3" applyFont="1" applyFill="1" applyBorder="1" applyAlignment="1" applyProtection="1">
      <alignment horizontal="center" vertical="center"/>
    </xf>
    <xf numFmtId="0" fontId="2" fillId="3" borderId="7" xfId="3" applyFont="1" applyFill="1" applyBorder="1" applyAlignment="1" applyProtection="1">
      <alignment horizontal="center" vertical="center"/>
    </xf>
    <xf numFmtId="0" fontId="2" fillId="3" borderId="8" xfId="3" applyFont="1" applyFill="1" applyBorder="1" applyAlignment="1" applyProtection="1">
      <alignment horizontal="center" vertical="center"/>
    </xf>
    <xf numFmtId="0" fontId="2" fillId="3" borderId="9" xfId="3" applyFont="1" applyFill="1" applyBorder="1" applyAlignment="1" applyProtection="1">
      <alignment horizontal="center" vertical="center"/>
    </xf>
    <xf numFmtId="0" fontId="2" fillId="3" borderId="10" xfId="3" applyFont="1" applyFill="1" applyBorder="1" applyAlignment="1" applyProtection="1">
      <alignment horizontal="center" vertical="center"/>
    </xf>
    <xf numFmtId="44" fontId="18" fillId="8" borderId="1" xfId="1" applyFont="1" applyFill="1" applyBorder="1" applyAlignment="1" applyProtection="1">
      <alignment horizontal="right" vertical="center" wrapText="1"/>
      <protection locked="0"/>
    </xf>
    <xf numFmtId="44" fontId="18" fillId="8" borderId="2" xfId="1" applyFont="1" applyFill="1" applyBorder="1" applyAlignment="1" applyProtection="1">
      <alignment horizontal="right" vertical="center" wrapText="1"/>
      <protection locked="0"/>
    </xf>
    <xf numFmtId="44" fontId="18" fillId="8" borderId="3" xfId="1" applyFont="1" applyFill="1" applyBorder="1" applyAlignment="1" applyProtection="1">
      <alignment horizontal="right" vertical="center" wrapText="1"/>
      <protection locked="0"/>
    </xf>
    <xf numFmtId="0" fontId="7" fillId="4" borderId="1" xfId="5" applyFont="1" applyFill="1" applyBorder="1" applyAlignment="1" applyProtection="1">
      <alignment horizontal="center" vertical="center" wrapText="1"/>
    </xf>
    <xf numFmtId="0" fontId="7" fillId="4" borderId="2" xfId="5" applyFont="1" applyFill="1" applyBorder="1" applyAlignment="1" applyProtection="1">
      <alignment horizontal="center" vertical="center" wrapText="1"/>
    </xf>
    <xf numFmtId="0" fontId="7" fillId="4" borderId="3" xfId="5" applyFont="1" applyFill="1" applyBorder="1" applyAlignment="1" applyProtection="1">
      <alignment horizontal="center" vertical="center" wrapText="1"/>
    </xf>
    <xf numFmtId="0" fontId="18" fillId="2" borderId="1" xfId="4" applyFont="1" applyFill="1" applyBorder="1" applyAlignment="1" applyProtection="1">
      <alignment horizontal="center" vertical="center" wrapText="1"/>
    </xf>
    <xf numFmtId="0" fontId="18" fillId="2" borderId="2" xfId="4" applyFont="1" applyFill="1" applyBorder="1" applyAlignment="1" applyProtection="1">
      <alignment horizontal="center" vertical="center" wrapText="1"/>
    </xf>
    <xf numFmtId="0" fontId="18" fillId="2" borderId="3" xfId="4" applyFont="1" applyFill="1" applyBorder="1" applyAlignment="1" applyProtection="1">
      <alignment horizontal="center" vertical="center" wrapText="1"/>
    </xf>
    <xf numFmtId="15" fontId="18" fillId="2" borderId="1" xfId="0" applyNumberFormat="1" applyFont="1" applyFill="1" applyBorder="1" applyAlignment="1" applyProtection="1">
      <alignment horizontal="center" vertical="center"/>
    </xf>
    <xf numFmtId="15" fontId="18" fillId="2" borderId="2" xfId="0" applyNumberFormat="1" applyFont="1" applyFill="1" applyBorder="1" applyAlignment="1" applyProtection="1">
      <alignment horizontal="center" vertical="center"/>
    </xf>
    <xf numFmtId="15" fontId="18" fillId="2" borderId="3" xfId="0" applyNumberFormat="1" applyFont="1" applyFill="1" applyBorder="1" applyAlignment="1" applyProtection="1">
      <alignment horizontal="center" vertical="center"/>
    </xf>
    <xf numFmtId="0" fontId="2" fillId="5" borderId="1" xfId="5" applyFont="1" applyFill="1" applyBorder="1" applyAlignment="1" applyProtection="1">
      <alignment horizontal="left" vertical="center"/>
    </xf>
    <xf numFmtId="0" fontId="2" fillId="5" borderId="2" xfId="5" applyFont="1" applyFill="1" applyBorder="1" applyAlignment="1" applyProtection="1">
      <alignment horizontal="left" vertical="center"/>
    </xf>
    <xf numFmtId="0" fontId="2" fillId="5" borderId="3" xfId="5" applyFont="1" applyFill="1" applyBorder="1" applyAlignment="1" applyProtection="1">
      <alignment horizontal="left" vertical="center"/>
    </xf>
    <xf numFmtId="0" fontId="7" fillId="7" borderId="1" xfId="5" applyFont="1" applyFill="1" applyBorder="1" applyAlignment="1" applyProtection="1">
      <alignment horizontal="center" vertical="center" wrapText="1"/>
    </xf>
    <xf numFmtId="0" fontId="7" fillId="7" borderId="2" xfId="5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7" fillId="7" borderId="3" xfId="5" applyFont="1" applyFill="1" applyBorder="1" applyAlignment="1" applyProtection="1">
      <alignment horizontal="center" vertical="center" wrapText="1"/>
    </xf>
    <xf numFmtId="0" fontId="7" fillId="7" borderId="8" xfId="5" applyFont="1" applyFill="1" applyBorder="1" applyAlignment="1" applyProtection="1">
      <alignment horizontal="right" vertical="center" wrapText="1"/>
    </xf>
    <xf numFmtId="0" fontId="7" fillId="7" borderId="9" xfId="5" applyFont="1" applyFill="1" applyBorder="1" applyAlignment="1" applyProtection="1">
      <alignment horizontal="right" vertical="center" wrapText="1"/>
    </xf>
    <xf numFmtId="0" fontId="7" fillId="7" borderId="10" xfId="5" applyFont="1" applyFill="1" applyBorder="1" applyAlignment="1" applyProtection="1">
      <alignment horizontal="right" vertical="center" wrapText="1"/>
    </xf>
    <xf numFmtId="164" fontId="18" fillId="8" borderId="1" xfId="2" applyNumberFormat="1" applyFont="1" applyFill="1" applyBorder="1" applyAlignment="1" applyProtection="1">
      <alignment horizontal="right" vertical="center"/>
      <protection locked="0"/>
    </xf>
    <xf numFmtId="164" fontId="18" fillId="8" borderId="3" xfId="2" applyNumberFormat="1" applyFont="1" applyFill="1" applyBorder="1" applyAlignment="1" applyProtection="1">
      <alignment horizontal="right" vertical="center"/>
      <protection locked="0"/>
    </xf>
    <xf numFmtId="0" fontId="18" fillId="0" borderId="4" xfId="5" applyFont="1" applyFill="1" applyBorder="1" applyAlignment="1" applyProtection="1">
      <alignment horizontal="center" vertical="center" wrapText="1"/>
    </xf>
    <xf numFmtId="0" fontId="18" fillId="0" borderId="11" xfId="5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8" fillId="7" borderId="3" xfId="5" applyFont="1" applyFill="1" applyBorder="1" applyAlignment="1" applyProtection="1">
      <alignment horizontal="right" vertical="center" wrapText="1"/>
    </xf>
    <xf numFmtId="0" fontId="7" fillId="4" borderId="2" xfId="5" applyFont="1" applyFill="1" applyBorder="1" applyAlignment="1" applyProtection="1">
      <alignment horizontal="left" vertical="center" wrapText="1"/>
    </xf>
    <xf numFmtId="0" fontId="8" fillId="7" borderId="5" xfId="5" applyFont="1" applyFill="1" applyBorder="1" applyAlignment="1" applyProtection="1">
      <alignment horizontal="right" vertical="center" wrapText="1"/>
    </xf>
    <xf numFmtId="0" fontId="8" fillId="7" borderId="6" xfId="5" applyFont="1" applyFill="1" applyBorder="1" applyAlignment="1" applyProtection="1">
      <alignment horizontal="right" vertical="center" wrapText="1"/>
    </xf>
    <xf numFmtId="0" fontId="8" fillId="7" borderId="7" xfId="5" applyFont="1" applyFill="1" applyBorder="1" applyAlignment="1" applyProtection="1">
      <alignment horizontal="right" vertical="center" wrapText="1"/>
    </xf>
    <xf numFmtId="0" fontId="7" fillId="4" borderId="1" xfId="5" applyFont="1" applyFill="1" applyBorder="1" applyAlignment="1" applyProtection="1">
      <alignment horizontal="center" vertical="center"/>
    </xf>
    <xf numFmtId="0" fontId="7" fillId="4" borderId="2" xfId="5" applyFont="1" applyFill="1" applyBorder="1" applyAlignment="1" applyProtection="1">
      <alignment horizontal="center" vertical="center"/>
    </xf>
    <xf numFmtId="0" fontId="7" fillId="4" borderId="3" xfId="5" applyFont="1" applyFill="1" applyBorder="1" applyAlignment="1" applyProtection="1">
      <alignment horizontal="center" vertical="center"/>
    </xf>
    <xf numFmtId="0" fontId="25" fillId="7" borderId="1" xfId="5" applyFont="1" applyFill="1" applyBorder="1" applyAlignment="1" applyProtection="1">
      <alignment horizontal="right" vertical="center" wrapText="1"/>
    </xf>
    <xf numFmtId="0" fontId="25" fillId="7" borderId="2" xfId="5" applyFont="1" applyFill="1" applyBorder="1" applyAlignment="1" applyProtection="1">
      <alignment horizontal="right" vertical="center" wrapText="1"/>
    </xf>
    <xf numFmtId="0" fontId="18" fillId="0" borderId="1" xfId="5" applyFont="1" applyFill="1" applyBorder="1" applyAlignment="1" applyProtection="1">
      <alignment horizontal="left" vertical="center" wrapText="1"/>
    </xf>
    <xf numFmtId="0" fontId="18" fillId="0" borderId="2" xfId="5" applyFont="1" applyFill="1" applyBorder="1" applyAlignment="1" applyProtection="1">
      <alignment horizontal="left" vertical="center" wrapText="1"/>
    </xf>
    <xf numFmtId="0" fontId="18" fillId="0" borderId="3" xfId="5" applyFont="1" applyFill="1" applyBorder="1" applyAlignment="1" applyProtection="1">
      <alignment horizontal="left" vertical="center" wrapText="1"/>
    </xf>
    <xf numFmtId="0" fontId="18" fillId="0" borderId="1" xfId="5" applyFont="1" applyFill="1" applyBorder="1" applyAlignment="1" applyProtection="1">
      <alignment vertical="center" wrapText="1"/>
    </xf>
    <xf numFmtId="0" fontId="18" fillId="0" borderId="3" xfId="5" applyFont="1" applyFill="1" applyBorder="1" applyAlignment="1" applyProtection="1">
      <alignment vertical="center" wrapText="1"/>
    </xf>
    <xf numFmtId="17" fontId="18" fillId="2" borderId="4" xfId="3" quotePrefix="1" applyNumberFormat="1" applyFont="1" applyFill="1" applyBorder="1" applyAlignment="1" applyProtection="1">
      <alignment horizontal="center" vertical="center" wrapText="1"/>
      <protection locked="0"/>
    </xf>
    <xf numFmtId="0" fontId="7" fillId="11" borderId="0" xfId="0" applyFont="1" applyFill="1" applyAlignment="1" applyProtection="1">
      <alignment horizontal="left"/>
    </xf>
    <xf numFmtId="0" fontId="3" fillId="11" borderId="4" xfId="0" applyFont="1" applyFill="1" applyBorder="1" applyAlignment="1" applyProtection="1">
      <alignment horizontal="left"/>
    </xf>
    <xf numFmtId="0" fontId="30" fillId="7" borderId="1" xfId="0" applyFont="1" applyFill="1" applyBorder="1" applyAlignment="1" applyProtection="1">
      <alignment horizontal="center" vertical="center" wrapText="1"/>
    </xf>
    <xf numFmtId="0" fontId="30" fillId="7" borderId="2" xfId="0" applyFont="1" applyFill="1" applyBorder="1" applyAlignment="1" applyProtection="1">
      <alignment horizontal="center" vertical="center" wrapText="1"/>
    </xf>
    <xf numFmtId="0" fontId="30" fillId="7" borderId="3" xfId="0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/>
    </xf>
  </cellXfs>
  <cellStyles count="6">
    <cellStyle name="Moeda" xfId="1" builtinId="4"/>
    <cellStyle name="Normal" xfId="0" builtinId="0"/>
    <cellStyle name="Normal 2" xfId="5"/>
    <cellStyle name="Normal 4" xfId="3"/>
    <cellStyle name="Normal 5" xfId="4"/>
    <cellStyle name="Porcentagem" xfId="2" builtinId="5"/>
  </cellStyles>
  <dxfs count="0"/>
  <tableStyles count="0" defaultTableStyle="TableStyleMedium2" defaultPivotStyle="PivotStyleLight16"/>
  <colors>
    <mruColors>
      <color rgb="FF000099"/>
      <color rgb="FF00FF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1"/>
  <sheetViews>
    <sheetView showGridLines="0" tabSelected="1" zoomScale="85" zoomScaleNormal="85" zoomScaleSheetLayoutView="145" zoomScalePageLayoutView="55" workbookViewId="0">
      <pane xSplit="1" topLeftCell="B1" activePane="topRight" state="frozen"/>
      <selection activeCell="A10" sqref="A10"/>
      <selection pane="topRight" activeCell="F7" sqref="F7"/>
    </sheetView>
  </sheetViews>
  <sheetFormatPr defaultRowHeight="15"/>
  <cols>
    <col min="1" max="1" width="9.140625" style="74" customWidth="1"/>
    <col min="2" max="2" width="45.7109375" style="75" bestFit="1" customWidth="1"/>
    <col min="3" max="3" width="24.28515625" style="75" customWidth="1"/>
    <col min="4" max="4" width="14.5703125" style="76" customWidth="1"/>
    <col min="5" max="5" width="16.28515625" style="77" customWidth="1"/>
    <col min="6" max="6" width="31.85546875" style="1" customWidth="1"/>
    <col min="7" max="7" width="5.5703125" style="1" customWidth="1"/>
    <col min="8" max="8" width="11.140625" style="1" hidden="1" customWidth="1"/>
    <col min="9" max="9" width="22" style="1" customWidth="1"/>
    <col min="10" max="16384" width="9.140625" style="1"/>
  </cols>
  <sheetData>
    <row r="2" spans="1:5">
      <c r="A2" s="141" t="s">
        <v>90</v>
      </c>
      <c r="B2" s="142"/>
      <c r="C2" s="143"/>
      <c r="D2" s="144"/>
      <c r="E2" s="145"/>
    </row>
    <row r="3" spans="1:5">
      <c r="A3" s="141" t="s">
        <v>91</v>
      </c>
      <c r="B3" s="142"/>
      <c r="C3" s="143"/>
      <c r="D3" s="146"/>
      <c r="E3" s="145"/>
    </row>
    <row r="4" spans="1:5" s="2" customFormat="1">
      <c r="A4" s="150" t="s">
        <v>0</v>
      </c>
      <c r="B4" s="151"/>
      <c r="C4" s="151"/>
      <c r="D4" s="151"/>
      <c r="E4" s="152"/>
    </row>
    <row r="5" spans="1:5">
      <c r="A5" s="3" t="s">
        <v>1</v>
      </c>
      <c r="B5" s="4" t="s">
        <v>2</v>
      </c>
      <c r="C5" s="153">
        <v>42583</v>
      </c>
      <c r="D5" s="154"/>
      <c r="E5" s="155"/>
    </row>
    <row r="6" spans="1:5">
      <c r="A6" s="3" t="s">
        <v>3</v>
      </c>
      <c r="B6" s="4" t="s">
        <v>4</v>
      </c>
      <c r="C6" s="156" t="s">
        <v>139</v>
      </c>
      <c r="D6" s="157"/>
      <c r="E6" s="158"/>
    </row>
    <row r="7" spans="1:5" ht="30">
      <c r="A7" s="3" t="s">
        <v>5</v>
      </c>
      <c r="B7" s="4" t="s">
        <v>6</v>
      </c>
      <c r="C7" s="156" t="s">
        <v>131</v>
      </c>
      <c r="D7" s="157"/>
      <c r="E7" s="158"/>
    </row>
    <row r="8" spans="1:5">
      <c r="A8" s="3" t="s">
        <v>7</v>
      </c>
      <c r="B8" s="4" t="s">
        <v>92</v>
      </c>
      <c r="C8" s="156" t="s">
        <v>96</v>
      </c>
      <c r="D8" s="157"/>
      <c r="E8" s="158"/>
    </row>
    <row r="9" spans="1:5" s="2" customFormat="1">
      <c r="A9" s="159" t="s">
        <v>8</v>
      </c>
      <c r="B9" s="160"/>
      <c r="C9" s="160"/>
      <c r="D9" s="160"/>
      <c r="E9" s="161"/>
    </row>
    <row r="10" spans="1:5">
      <c r="A10" s="162" t="s">
        <v>9</v>
      </c>
      <c r="B10" s="163"/>
      <c r="C10" s="147" t="s">
        <v>109</v>
      </c>
      <c r="D10" s="148"/>
      <c r="E10" s="149"/>
    </row>
    <row r="11" spans="1:5">
      <c r="A11" s="154" t="s">
        <v>140</v>
      </c>
      <c r="B11" s="155"/>
      <c r="C11" s="164">
        <v>2</v>
      </c>
      <c r="D11" s="164"/>
      <c r="E11" s="164"/>
    </row>
    <row r="12" spans="1:5" s="2" customFormat="1">
      <c r="A12" s="165" t="s">
        <v>10</v>
      </c>
      <c r="B12" s="166"/>
      <c r="C12" s="166"/>
      <c r="D12" s="166"/>
      <c r="E12" s="167"/>
    </row>
    <row r="13" spans="1:5" s="2" customFormat="1">
      <c r="A13" s="168" t="s">
        <v>11</v>
      </c>
      <c r="B13" s="169"/>
      <c r="C13" s="169"/>
      <c r="D13" s="169"/>
      <c r="E13" s="170"/>
    </row>
    <row r="14" spans="1:5">
      <c r="A14" s="174" t="s">
        <v>12</v>
      </c>
      <c r="B14" s="175"/>
      <c r="C14" s="175"/>
      <c r="D14" s="176"/>
      <c r="E14" s="5" t="s">
        <v>13</v>
      </c>
    </row>
    <row r="15" spans="1:5" ht="30">
      <c r="A15" s="3">
        <v>1</v>
      </c>
      <c r="B15" s="6" t="s">
        <v>93</v>
      </c>
      <c r="C15" s="177" t="s">
        <v>140</v>
      </c>
      <c r="D15" s="178"/>
      <c r="E15" s="179"/>
    </row>
    <row r="16" spans="1:5">
      <c r="A16" s="3">
        <v>2</v>
      </c>
      <c r="B16" s="6" t="s">
        <v>14</v>
      </c>
      <c r="C16" s="171">
        <v>965.25</v>
      </c>
      <c r="D16" s="172"/>
      <c r="E16" s="173"/>
    </row>
    <row r="17" spans="1:9" ht="30">
      <c r="A17" s="3">
        <v>3</v>
      </c>
      <c r="B17" s="6" t="s">
        <v>15</v>
      </c>
      <c r="C17" s="177" t="s">
        <v>140</v>
      </c>
      <c r="D17" s="178"/>
      <c r="E17" s="179"/>
    </row>
    <row r="18" spans="1:9">
      <c r="A18" s="3">
        <v>4</v>
      </c>
      <c r="B18" s="7" t="s">
        <v>16</v>
      </c>
      <c r="C18" s="180" t="s">
        <v>108</v>
      </c>
      <c r="D18" s="181"/>
      <c r="E18" s="182"/>
    </row>
    <row r="19" spans="1:9" s="9" customFormat="1">
      <c r="A19" s="183" t="s">
        <v>17</v>
      </c>
      <c r="B19" s="184"/>
      <c r="C19" s="184"/>
      <c r="D19" s="185"/>
      <c r="E19" s="8"/>
    </row>
    <row r="20" spans="1:9" s="9" customFormat="1">
      <c r="A20" s="10">
        <v>1</v>
      </c>
      <c r="B20" s="119" t="s">
        <v>18</v>
      </c>
      <c r="C20" s="120"/>
      <c r="D20" s="121"/>
      <c r="E20" s="5" t="s">
        <v>13</v>
      </c>
    </row>
    <row r="21" spans="1:9">
      <c r="A21" s="11" t="s">
        <v>1</v>
      </c>
      <c r="B21" s="12" t="s">
        <v>19</v>
      </c>
      <c r="C21" s="122"/>
      <c r="D21" s="123"/>
      <c r="E21" s="13">
        <f>+C16</f>
        <v>965.25</v>
      </c>
      <c r="H21" s="1">
        <f>+$E$21*2</f>
        <v>1930.5</v>
      </c>
    </row>
    <row r="22" spans="1:9">
      <c r="A22" s="11" t="s">
        <v>3</v>
      </c>
      <c r="B22" s="16" t="s">
        <v>23</v>
      </c>
      <c r="C22" s="124"/>
      <c r="D22" s="125"/>
      <c r="E22" s="14">
        <f t="shared" ref="E22" si="0">C22*$C$16</f>
        <v>0</v>
      </c>
      <c r="F22" s="15"/>
    </row>
    <row r="23" spans="1:9" s="19" customFormat="1">
      <c r="A23" s="113" t="s">
        <v>24</v>
      </c>
      <c r="B23" s="114"/>
      <c r="C23" s="114"/>
      <c r="D23" s="115"/>
      <c r="E23" s="18">
        <f>TRUNC(SUM(E21:E22),2)</f>
        <v>965.25</v>
      </c>
      <c r="F23" s="15"/>
    </row>
    <row r="24" spans="1:9" s="9" customFormat="1">
      <c r="A24" s="126" t="s">
        <v>95</v>
      </c>
      <c r="B24" s="127"/>
      <c r="C24" s="127"/>
      <c r="D24" s="128"/>
      <c r="E24" s="8"/>
      <c r="F24" s="15"/>
    </row>
    <row r="25" spans="1:9">
      <c r="A25" s="10">
        <v>2</v>
      </c>
      <c r="B25" s="20" t="s">
        <v>25</v>
      </c>
      <c r="C25" s="20" t="s">
        <v>110</v>
      </c>
      <c r="D25" s="20" t="s">
        <v>111</v>
      </c>
      <c r="E25" s="5" t="s">
        <v>13</v>
      </c>
      <c r="F25" s="15"/>
    </row>
    <row r="26" spans="1:9">
      <c r="A26" s="21" t="s">
        <v>1</v>
      </c>
      <c r="B26" s="16" t="s">
        <v>100</v>
      </c>
      <c r="C26" s="3">
        <v>44</v>
      </c>
      <c r="D26" s="100">
        <v>2.8</v>
      </c>
      <c r="E26" s="22">
        <f>+TRUNC((C26*D26)-(C16*0.06),2)</f>
        <v>65.28</v>
      </c>
      <c r="F26" s="15"/>
      <c r="I26" s="15"/>
    </row>
    <row r="27" spans="1:9">
      <c r="A27" s="21" t="s">
        <v>3</v>
      </c>
      <c r="B27" s="16" t="s">
        <v>133</v>
      </c>
      <c r="C27" s="3">
        <v>22</v>
      </c>
      <c r="D27" s="85">
        <v>6.66</v>
      </c>
      <c r="E27" s="22">
        <f>TRUNC((C27*D27)*0.8,2)</f>
        <v>117.21</v>
      </c>
      <c r="F27" s="23"/>
      <c r="I27" s="15"/>
    </row>
    <row r="28" spans="1:9">
      <c r="A28" s="21" t="s">
        <v>5</v>
      </c>
      <c r="B28" s="16" t="s">
        <v>132</v>
      </c>
      <c r="C28" s="3">
        <v>1</v>
      </c>
      <c r="D28" s="85">
        <v>100</v>
      </c>
      <c r="E28" s="22">
        <f>TRUNC((C28*D28),2)</f>
        <v>100</v>
      </c>
      <c r="F28" s="15"/>
      <c r="I28" s="15"/>
    </row>
    <row r="29" spans="1:9">
      <c r="A29" s="21" t="s">
        <v>7</v>
      </c>
      <c r="B29" s="16" t="s">
        <v>164</v>
      </c>
      <c r="C29" s="3">
        <v>1</v>
      </c>
      <c r="D29" s="85">
        <v>37.82</v>
      </c>
      <c r="E29" s="22">
        <f>TRUNC((C29*D29),2)</f>
        <v>37.82</v>
      </c>
      <c r="I29" s="15"/>
    </row>
    <row r="30" spans="1:9">
      <c r="A30" s="21" t="s">
        <v>20</v>
      </c>
      <c r="B30" s="16" t="s">
        <v>106</v>
      </c>
      <c r="C30" s="3">
        <v>0</v>
      </c>
      <c r="D30" s="85">
        <v>0</v>
      </c>
      <c r="E30" s="22">
        <f>TRUNC((C30*D30),2)</f>
        <v>0</v>
      </c>
      <c r="I30" s="15"/>
    </row>
    <row r="31" spans="1:9" s="19" customFormat="1">
      <c r="A31" s="113" t="s">
        <v>26</v>
      </c>
      <c r="B31" s="114"/>
      <c r="C31" s="114"/>
      <c r="D31" s="115"/>
      <c r="E31" s="18">
        <f>SUM(E26:E30)</f>
        <v>320.31</v>
      </c>
    </row>
    <row r="32" spans="1:9" s="9" customFormat="1">
      <c r="A32" s="126" t="s">
        <v>27</v>
      </c>
      <c r="B32" s="127"/>
      <c r="C32" s="127"/>
      <c r="D32" s="127"/>
      <c r="E32" s="128"/>
    </row>
    <row r="33" spans="1:10" s="9" customFormat="1">
      <c r="A33" s="10">
        <v>3</v>
      </c>
      <c r="B33" s="20" t="s">
        <v>28</v>
      </c>
      <c r="C33" s="20" t="s">
        <v>110</v>
      </c>
      <c r="D33" s="20" t="s">
        <v>111</v>
      </c>
      <c r="E33" s="5" t="s">
        <v>13</v>
      </c>
    </row>
    <row r="34" spans="1:10" s="9" customFormat="1">
      <c r="A34" s="21" t="s">
        <v>1</v>
      </c>
      <c r="B34" s="16" t="s">
        <v>167</v>
      </c>
      <c r="C34" s="24">
        <v>1</v>
      </c>
      <c r="D34" s="13">
        <f>Uniforme!G12</f>
        <v>0</v>
      </c>
      <c r="E34" s="13">
        <f>TRUNC((C34*D34),2)</f>
        <v>0</v>
      </c>
      <c r="F34" s="26"/>
    </row>
    <row r="35" spans="1:10" s="9" customFormat="1">
      <c r="A35" s="21" t="s">
        <v>3</v>
      </c>
      <c r="B35" s="16" t="s">
        <v>107</v>
      </c>
      <c r="C35" s="31">
        <v>0</v>
      </c>
      <c r="D35" s="13">
        <v>0</v>
      </c>
      <c r="E35" s="13">
        <f>TRUNC((C35*D35),2)</f>
        <v>0</v>
      </c>
      <c r="F35" s="28"/>
      <c r="H35" s="29"/>
      <c r="J35" s="30"/>
    </row>
    <row r="36" spans="1:10" s="19" customFormat="1">
      <c r="A36" s="113" t="s">
        <v>29</v>
      </c>
      <c r="B36" s="114"/>
      <c r="C36" s="114"/>
      <c r="D36" s="115"/>
      <c r="E36" s="18">
        <f>SUM(E34:E35)</f>
        <v>0</v>
      </c>
      <c r="F36" s="28"/>
      <c r="H36" s="32"/>
      <c r="J36" s="30"/>
    </row>
    <row r="37" spans="1:10" s="9" customFormat="1">
      <c r="A37" s="126" t="s">
        <v>30</v>
      </c>
      <c r="B37" s="127"/>
      <c r="C37" s="127"/>
      <c r="D37" s="127"/>
      <c r="E37" s="128"/>
      <c r="F37" s="28"/>
      <c r="H37" s="29"/>
      <c r="J37" s="30"/>
    </row>
    <row r="38" spans="1:10" s="9" customFormat="1">
      <c r="A38" s="126" t="s">
        <v>31</v>
      </c>
      <c r="B38" s="127"/>
      <c r="C38" s="127"/>
      <c r="D38" s="127"/>
      <c r="E38" s="128"/>
      <c r="F38" s="28"/>
      <c r="H38" s="29"/>
      <c r="J38" s="30"/>
    </row>
    <row r="39" spans="1:10" s="9" customFormat="1">
      <c r="A39" s="33" t="s">
        <v>32</v>
      </c>
      <c r="B39" s="119" t="s">
        <v>33</v>
      </c>
      <c r="C39" s="203"/>
      <c r="D39" s="20" t="s">
        <v>130</v>
      </c>
      <c r="E39" s="5" t="s">
        <v>13</v>
      </c>
      <c r="F39" s="28"/>
      <c r="H39" s="29"/>
      <c r="J39" s="30"/>
    </row>
    <row r="40" spans="1:10" s="9" customFormat="1">
      <c r="A40" s="21" t="s">
        <v>1</v>
      </c>
      <c r="B40" s="129" t="s">
        <v>127</v>
      </c>
      <c r="C40" s="130"/>
      <c r="D40" s="34">
        <v>0.2</v>
      </c>
      <c r="E40" s="17">
        <f>TRUNC($E$23*D40,2)</f>
        <v>193.05</v>
      </c>
      <c r="F40" s="28"/>
      <c r="H40" s="29"/>
      <c r="J40" s="30"/>
    </row>
    <row r="41" spans="1:10" s="9" customFormat="1">
      <c r="A41" s="21" t="s">
        <v>3</v>
      </c>
      <c r="B41" s="129" t="s">
        <v>128</v>
      </c>
      <c r="C41" s="130"/>
      <c r="D41" s="34">
        <v>1.4999999999999999E-2</v>
      </c>
      <c r="E41" s="17">
        <f t="shared" ref="E41:E47" si="1">TRUNC($E$23*D41,2)</f>
        <v>14.47</v>
      </c>
      <c r="F41" s="28"/>
      <c r="H41" s="29"/>
      <c r="J41" s="30"/>
    </row>
    <row r="42" spans="1:10" s="9" customFormat="1">
      <c r="A42" s="21" t="s">
        <v>5</v>
      </c>
      <c r="B42" s="129" t="s">
        <v>125</v>
      </c>
      <c r="C42" s="130"/>
      <c r="D42" s="34">
        <v>0.01</v>
      </c>
      <c r="E42" s="17">
        <f t="shared" si="1"/>
        <v>9.65</v>
      </c>
      <c r="F42" s="28"/>
      <c r="H42" s="35"/>
      <c r="J42" s="36"/>
    </row>
    <row r="43" spans="1:10" s="9" customFormat="1">
      <c r="A43" s="21" t="s">
        <v>7</v>
      </c>
      <c r="B43" s="131" t="s">
        <v>165</v>
      </c>
      <c r="C43" s="130"/>
      <c r="D43" s="110">
        <v>2E-3</v>
      </c>
      <c r="E43" s="17">
        <f t="shared" si="1"/>
        <v>1.93</v>
      </c>
      <c r="F43" s="28"/>
    </row>
    <row r="44" spans="1:10" s="9" customFormat="1">
      <c r="A44" s="21" t="s">
        <v>20</v>
      </c>
      <c r="B44" s="129" t="s">
        <v>126</v>
      </c>
      <c r="C44" s="130"/>
      <c r="D44" s="34">
        <v>2.5000000000000001E-2</v>
      </c>
      <c r="E44" s="17">
        <f t="shared" si="1"/>
        <v>24.13</v>
      </c>
      <c r="F44" s="37"/>
      <c r="H44" s="38"/>
      <c r="I44" s="39"/>
      <c r="J44" s="102"/>
    </row>
    <row r="45" spans="1:10" s="9" customFormat="1">
      <c r="A45" s="21" t="s">
        <v>21</v>
      </c>
      <c r="B45" s="129" t="s">
        <v>129</v>
      </c>
      <c r="C45" s="130"/>
      <c r="D45" s="34">
        <v>0.08</v>
      </c>
      <c r="E45" s="17">
        <f t="shared" si="1"/>
        <v>77.22</v>
      </c>
      <c r="F45" s="28"/>
    </row>
    <row r="46" spans="1:10" s="9" customFormat="1" ht="39.75" customHeight="1">
      <c r="A46" s="21" t="s">
        <v>22</v>
      </c>
      <c r="B46" s="198" t="s">
        <v>169</v>
      </c>
      <c r="C46" s="199"/>
      <c r="D46" s="110">
        <v>0.03</v>
      </c>
      <c r="E46" s="17">
        <f t="shared" si="1"/>
        <v>28.95</v>
      </c>
      <c r="F46" s="28"/>
    </row>
    <row r="47" spans="1:10" s="9" customFormat="1">
      <c r="A47" s="21" t="s">
        <v>34</v>
      </c>
      <c r="B47" s="200" t="s">
        <v>168</v>
      </c>
      <c r="C47" s="201"/>
      <c r="D47" s="110">
        <v>6.0000000000000001E-3</v>
      </c>
      <c r="E47" s="17">
        <f t="shared" si="1"/>
        <v>5.79</v>
      </c>
      <c r="F47" s="28"/>
    </row>
    <row r="48" spans="1:10" s="9" customFormat="1">
      <c r="A48" s="116" t="s">
        <v>35</v>
      </c>
      <c r="B48" s="117"/>
      <c r="C48" s="118"/>
      <c r="D48" s="40">
        <f>SUM(D40:D47)</f>
        <v>0.3680000000000001</v>
      </c>
      <c r="E48" s="18">
        <f>TRUNC(SUM(E40:E47),2)</f>
        <v>355.19</v>
      </c>
    </row>
    <row r="49" spans="1:12" s="9" customFormat="1">
      <c r="A49" s="126" t="s">
        <v>36</v>
      </c>
      <c r="B49" s="127"/>
      <c r="C49" s="127"/>
      <c r="D49" s="127"/>
      <c r="E49" s="128"/>
    </row>
    <row r="50" spans="1:12" s="9" customFormat="1">
      <c r="A50" s="33" t="s">
        <v>37</v>
      </c>
      <c r="B50" s="119" t="s">
        <v>97</v>
      </c>
      <c r="C50" s="120"/>
      <c r="D50" s="121"/>
      <c r="E50" s="5" t="s">
        <v>13</v>
      </c>
    </row>
    <row r="51" spans="1:12" s="9" customFormat="1">
      <c r="A51" s="21" t="s">
        <v>1</v>
      </c>
      <c r="B51" s="129" t="s">
        <v>38</v>
      </c>
      <c r="C51" s="130"/>
      <c r="D51" s="41">
        <f>1/12</f>
        <v>8.3333333333333329E-2</v>
      </c>
      <c r="E51" s="13">
        <f>TRUNC(+$E$23*D51,2)</f>
        <v>80.430000000000007</v>
      </c>
    </row>
    <row r="52" spans="1:12" s="9" customFormat="1">
      <c r="A52" s="116" t="s">
        <v>39</v>
      </c>
      <c r="B52" s="117"/>
      <c r="C52" s="202"/>
      <c r="D52" s="42">
        <f>SUM(D51:D51)</f>
        <v>8.3333333333333329E-2</v>
      </c>
      <c r="E52" s="18">
        <f>SUM(E51:E51)</f>
        <v>80.430000000000007</v>
      </c>
    </row>
    <row r="53" spans="1:12" s="9" customFormat="1">
      <c r="A53" s="21" t="s">
        <v>5</v>
      </c>
      <c r="B53" s="137" t="s">
        <v>40</v>
      </c>
      <c r="C53" s="138"/>
      <c r="D53" s="41">
        <f>+D48</f>
        <v>0.3680000000000001</v>
      </c>
      <c r="E53" s="13">
        <f>TRUNC(+E52*D53,2)</f>
        <v>29.59</v>
      </c>
    </row>
    <row r="54" spans="1:12" s="9" customFormat="1">
      <c r="A54" s="116" t="s">
        <v>35</v>
      </c>
      <c r="B54" s="117"/>
      <c r="C54" s="202"/>
      <c r="D54" s="43"/>
      <c r="E54" s="18">
        <f>+E53+E52</f>
        <v>110.02000000000001</v>
      </c>
    </row>
    <row r="55" spans="1:12" s="9" customFormat="1">
      <c r="A55" s="126" t="s">
        <v>41</v>
      </c>
      <c r="B55" s="127"/>
      <c r="C55" s="127"/>
      <c r="D55" s="127"/>
      <c r="E55" s="128"/>
    </row>
    <row r="56" spans="1:12" s="9" customFormat="1">
      <c r="A56" s="33" t="s">
        <v>42</v>
      </c>
      <c r="B56" s="119" t="s">
        <v>43</v>
      </c>
      <c r="C56" s="120"/>
      <c r="D56" s="121"/>
      <c r="E56" s="5" t="s">
        <v>13</v>
      </c>
    </row>
    <row r="57" spans="1:12" s="9" customFormat="1">
      <c r="A57" s="21" t="s">
        <v>1</v>
      </c>
      <c r="B57" s="137" t="s">
        <v>44</v>
      </c>
      <c r="C57" s="138"/>
      <c r="D57" s="111">
        <f>((38.05%*1.96%*47.81*61%)*3%)/1</f>
        <v>6.5250007493999991E-3</v>
      </c>
      <c r="E57" s="13">
        <f>TRUNC(+D57*$E$23,2)</f>
        <v>6.29</v>
      </c>
      <c r="L57" s="44"/>
    </row>
    <row r="58" spans="1:12" s="9" customFormat="1">
      <c r="A58" s="21" t="s">
        <v>3</v>
      </c>
      <c r="B58" s="137" t="s">
        <v>45</v>
      </c>
      <c r="C58" s="138"/>
      <c r="D58" s="34">
        <f>D48</f>
        <v>0.3680000000000001</v>
      </c>
      <c r="E58" s="13">
        <f>ROUND(+D58*E57,2)</f>
        <v>2.31</v>
      </c>
      <c r="F58" s="45"/>
      <c r="L58" s="44"/>
    </row>
    <row r="59" spans="1:12" s="9" customFormat="1">
      <c r="A59" s="116" t="s">
        <v>35</v>
      </c>
      <c r="B59" s="117"/>
      <c r="C59" s="117"/>
      <c r="D59" s="43"/>
      <c r="E59" s="18">
        <f>SUM(E57:E58)</f>
        <v>8.6</v>
      </c>
      <c r="F59" s="46"/>
      <c r="L59" s="44"/>
    </row>
    <row r="60" spans="1:12" s="9" customFormat="1">
      <c r="A60" s="126" t="s">
        <v>46</v>
      </c>
      <c r="B60" s="127"/>
      <c r="C60" s="127"/>
      <c r="D60" s="127"/>
      <c r="E60" s="128"/>
      <c r="F60" s="47"/>
      <c r="L60" s="44"/>
    </row>
    <row r="61" spans="1:12" s="9" customFormat="1">
      <c r="A61" s="33" t="s">
        <v>47</v>
      </c>
      <c r="B61" s="119" t="s">
        <v>48</v>
      </c>
      <c r="C61" s="120"/>
      <c r="D61" s="121"/>
      <c r="E61" s="5" t="s">
        <v>13</v>
      </c>
      <c r="L61" s="48"/>
    </row>
    <row r="62" spans="1:12" s="9" customFormat="1">
      <c r="A62" s="49" t="s">
        <v>1</v>
      </c>
      <c r="B62" s="135" t="s">
        <v>49</v>
      </c>
      <c r="C62" s="136"/>
      <c r="D62" s="50">
        <f>((1/12)*0.05)</f>
        <v>4.1666666666666666E-3</v>
      </c>
      <c r="E62" s="87">
        <f>TRUNC(+$E$23*D62,2)</f>
        <v>4.0199999999999996</v>
      </c>
      <c r="F62" s="46"/>
    </row>
    <row r="63" spans="1:12" s="9" customFormat="1">
      <c r="A63" s="49" t="s">
        <v>3</v>
      </c>
      <c r="B63" s="135" t="s">
        <v>98</v>
      </c>
      <c r="C63" s="136"/>
      <c r="D63" s="50">
        <f>+D45</f>
        <v>0.08</v>
      </c>
      <c r="E63" s="87">
        <f>TRUNC(+E62*D63,2)</f>
        <v>0.32</v>
      </c>
    </row>
    <row r="64" spans="1:12" s="9" customFormat="1">
      <c r="A64" s="49" t="s">
        <v>5</v>
      </c>
      <c r="B64" s="135" t="s">
        <v>104</v>
      </c>
      <c r="C64" s="136"/>
      <c r="D64" s="50">
        <f>(0.08*0.5*0.05)</f>
        <v>2E-3</v>
      </c>
      <c r="E64" s="87">
        <f>TRUNC(+$E$23*D64,2)</f>
        <v>1.93</v>
      </c>
    </row>
    <row r="65" spans="1:6" s="9" customFormat="1">
      <c r="A65" s="49" t="s">
        <v>7</v>
      </c>
      <c r="B65" s="188" t="s">
        <v>50</v>
      </c>
      <c r="C65" s="189"/>
      <c r="D65" s="50">
        <f>((7/30)/12)</f>
        <v>1.9444444444444445E-2</v>
      </c>
      <c r="E65" s="87">
        <f>TRUNC(+D65*$E$23,2)</f>
        <v>18.760000000000002</v>
      </c>
    </row>
    <row r="66" spans="1:6" s="9" customFormat="1">
      <c r="A66" s="49" t="s">
        <v>20</v>
      </c>
      <c r="B66" s="135" t="s">
        <v>99</v>
      </c>
      <c r="C66" s="136"/>
      <c r="D66" s="50">
        <f>+D48</f>
        <v>0.3680000000000001</v>
      </c>
      <c r="E66" s="87">
        <f>TRUNC(+E65*D66,2)</f>
        <v>6.9</v>
      </c>
    </row>
    <row r="67" spans="1:6" s="9" customFormat="1">
      <c r="A67" s="49" t="s">
        <v>21</v>
      </c>
      <c r="B67" s="135" t="s">
        <v>105</v>
      </c>
      <c r="C67" s="136"/>
      <c r="D67" s="50">
        <f>(0.08*0.5)</f>
        <v>0.04</v>
      </c>
      <c r="E67" s="87">
        <f>TRUNC(+E23*D67,2)</f>
        <v>38.61</v>
      </c>
    </row>
    <row r="68" spans="1:6" s="9" customFormat="1">
      <c r="A68" s="210" t="s">
        <v>35</v>
      </c>
      <c r="B68" s="211"/>
      <c r="C68" s="211"/>
      <c r="D68" s="51"/>
      <c r="E68" s="88">
        <f>SUM(E62:E67)</f>
        <v>70.539999999999992</v>
      </c>
    </row>
    <row r="69" spans="1:6" s="9" customFormat="1">
      <c r="A69" s="126" t="s">
        <v>51</v>
      </c>
      <c r="B69" s="127"/>
      <c r="C69" s="127"/>
      <c r="D69" s="127"/>
      <c r="E69" s="128"/>
    </row>
    <row r="70" spans="1:6" s="9" customFormat="1">
      <c r="A70" s="33" t="s">
        <v>52</v>
      </c>
      <c r="B70" s="207" t="s">
        <v>53</v>
      </c>
      <c r="C70" s="208"/>
      <c r="D70" s="209"/>
      <c r="E70" s="5" t="s">
        <v>13</v>
      </c>
    </row>
    <row r="71" spans="1:6" s="9" customFormat="1" ht="16.5" customHeight="1">
      <c r="A71" s="21" t="s">
        <v>1</v>
      </c>
      <c r="B71" s="137" t="s">
        <v>54</v>
      </c>
      <c r="C71" s="138"/>
      <c r="D71" s="34">
        <f>(((1+1/3)/12))</f>
        <v>0.1111111111111111</v>
      </c>
      <c r="E71" s="13">
        <f t="shared" ref="E71:E76" si="2">TRUNC(+D71*$E$23,2)</f>
        <v>107.25</v>
      </c>
      <c r="F71" s="36"/>
    </row>
    <row r="72" spans="1:6" s="9" customFormat="1">
      <c r="A72" s="21" t="s">
        <v>3</v>
      </c>
      <c r="B72" s="137" t="s">
        <v>55</v>
      </c>
      <c r="C72" s="138"/>
      <c r="D72" s="41">
        <v>1.66E-2</v>
      </c>
      <c r="E72" s="13">
        <f t="shared" si="2"/>
        <v>16.02</v>
      </c>
    </row>
    <row r="73" spans="1:6" s="9" customFormat="1">
      <c r="A73" s="21" t="s">
        <v>5</v>
      </c>
      <c r="B73" s="137" t="s">
        <v>56</v>
      </c>
      <c r="C73" s="138"/>
      <c r="D73" s="41">
        <v>2.0000000000000001E-4</v>
      </c>
      <c r="E73" s="13">
        <f t="shared" si="2"/>
        <v>0.19</v>
      </c>
      <c r="F73" s="52"/>
    </row>
    <row r="74" spans="1:6" s="9" customFormat="1">
      <c r="A74" s="21" t="s">
        <v>7</v>
      </c>
      <c r="B74" s="139" t="s">
        <v>57</v>
      </c>
      <c r="C74" s="140"/>
      <c r="D74" s="34">
        <v>2.8E-3</v>
      </c>
      <c r="E74" s="13">
        <f t="shared" si="2"/>
        <v>2.7</v>
      </c>
    </row>
    <row r="75" spans="1:6" s="9" customFormat="1">
      <c r="A75" s="21" t="s">
        <v>20</v>
      </c>
      <c r="B75" s="137" t="s">
        <v>58</v>
      </c>
      <c r="C75" s="138"/>
      <c r="D75" s="112">
        <v>2.9999999999999997E-4</v>
      </c>
      <c r="E75" s="13">
        <f t="shared" si="2"/>
        <v>0.28000000000000003</v>
      </c>
    </row>
    <row r="76" spans="1:6" s="9" customFormat="1">
      <c r="A76" s="21" t="s">
        <v>21</v>
      </c>
      <c r="B76" s="137" t="s">
        <v>23</v>
      </c>
      <c r="C76" s="138"/>
      <c r="D76" s="34">
        <v>0</v>
      </c>
      <c r="E76" s="13">
        <f t="shared" si="2"/>
        <v>0</v>
      </c>
      <c r="F76" s="52"/>
    </row>
    <row r="77" spans="1:6" s="9" customFormat="1">
      <c r="A77" s="116" t="s">
        <v>39</v>
      </c>
      <c r="B77" s="117"/>
      <c r="C77" s="118"/>
      <c r="D77" s="40">
        <f>SUM(D71:D76)</f>
        <v>0.13101111111111111</v>
      </c>
      <c r="E77" s="18">
        <f>SUM(E71:E76)</f>
        <v>126.44</v>
      </c>
    </row>
    <row r="78" spans="1:6" s="9" customFormat="1" ht="30">
      <c r="A78" s="21" t="s">
        <v>22</v>
      </c>
      <c r="B78" s="16" t="s">
        <v>59</v>
      </c>
      <c r="C78" s="53"/>
      <c r="D78" s="41">
        <f>+D48</f>
        <v>0.3680000000000001</v>
      </c>
      <c r="E78" s="13">
        <f>TRUNC(+E77*D78,2)</f>
        <v>46.52</v>
      </c>
      <c r="F78" s="52"/>
    </row>
    <row r="79" spans="1:6" s="9" customFormat="1">
      <c r="A79" s="116" t="s">
        <v>35</v>
      </c>
      <c r="B79" s="117"/>
      <c r="C79" s="202"/>
      <c r="D79" s="54"/>
      <c r="E79" s="18">
        <f>SUM(E77:E78)</f>
        <v>172.96</v>
      </c>
    </row>
    <row r="80" spans="1:6" s="9" customFormat="1">
      <c r="A80" s="183" t="s">
        <v>60</v>
      </c>
      <c r="B80" s="184"/>
      <c r="C80" s="184"/>
      <c r="D80" s="184"/>
      <c r="E80" s="185"/>
    </row>
    <row r="81" spans="1:5" s="9" customFormat="1">
      <c r="A81" s="10">
        <v>4</v>
      </c>
      <c r="B81" s="119" t="s">
        <v>61</v>
      </c>
      <c r="C81" s="120"/>
      <c r="D81" s="121"/>
      <c r="E81" s="5" t="s">
        <v>13</v>
      </c>
    </row>
    <row r="82" spans="1:5" s="9" customFormat="1" ht="30" customHeight="1">
      <c r="A82" s="21" t="s">
        <v>32</v>
      </c>
      <c r="B82" s="132" t="s">
        <v>62</v>
      </c>
      <c r="C82" s="133"/>
      <c r="D82" s="134"/>
      <c r="E82" s="13">
        <f>+E48</f>
        <v>355.19</v>
      </c>
    </row>
    <row r="83" spans="1:5" s="9" customFormat="1">
      <c r="A83" s="21" t="s">
        <v>37</v>
      </c>
      <c r="B83" s="132" t="s">
        <v>63</v>
      </c>
      <c r="C83" s="133"/>
      <c r="D83" s="134"/>
      <c r="E83" s="13">
        <f>+E54</f>
        <v>110.02000000000001</v>
      </c>
    </row>
    <row r="84" spans="1:5" s="9" customFormat="1">
      <c r="A84" s="21" t="s">
        <v>42</v>
      </c>
      <c r="B84" s="132" t="s">
        <v>44</v>
      </c>
      <c r="C84" s="133"/>
      <c r="D84" s="134"/>
      <c r="E84" s="13">
        <f>+E59</f>
        <v>8.6</v>
      </c>
    </row>
    <row r="85" spans="1:5" s="9" customFormat="1">
      <c r="A85" s="21" t="s">
        <v>47</v>
      </c>
      <c r="B85" s="132" t="s">
        <v>64</v>
      </c>
      <c r="C85" s="133"/>
      <c r="D85" s="134"/>
      <c r="E85" s="13">
        <f>E68</f>
        <v>70.539999999999992</v>
      </c>
    </row>
    <row r="86" spans="1:5" s="9" customFormat="1">
      <c r="A86" s="21" t="s">
        <v>52</v>
      </c>
      <c r="B86" s="132" t="s">
        <v>65</v>
      </c>
      <c r="C86" s="133"/>
      <c r="D86" s="134"/>
      <c r="E86" s="13">
        <f>+E79</f>
        <v>172.96</v>
      </c>
    </row>
    <row r="87" spans="1:5" s="9" customFormat="1">
      <c r="A87" s="21" t="s">
        <v>66</v>
      </c>
      <c r="B87" s="132" t="s">
        <v>23</v>
      </c>
      <c r="C87" s="133"/>
      <c r="D87" s="134"/>
      <c r="E87" s="13">
        <f t="shared" ref="E87" si="3">+$E$23*D87</f>
        <v>0</v>
      </c>
    </row>
    <row r="88" spans="1:5" s="19" customFormat="1" ht="15" customHeight="1">
      <c r="A88" s="186" t="s">
        <v>67</v>
      </c>
      <c r="B88" s="187"/>
      <c r="C88" s="187"/>
      <c r="D88" s="190"/>
      <c r="E88" s="18">
        <f>SUM(E82:E87)</f>
        <v>717.31000000000006</v>
      </c>
    </row>
    <row r="89" spans="1:5" s="19" customFormat="1" ht="29.25" customHeight="1">
      <c r="A89" s="186" t="s">
        <v>68</v>
      </c>
      <c r="B89" s="187"/>
      <c r="C89" s="187"/>
      <c r="D89" s="55"/>
      <c r="E89" s="18">
        <f>+E23+E31+E36+E88</f>
        <v>2002.87</v>
      </c>
    </row>
    <row r="90" spans="1:5" s="9" customFormat="1">
      <c r="A90" s="126" t="s">
        <v>69</v>
      </c>
      <c r="B90" s="127"/>
      <c r="C90" s="127" t="s">
        <v>70</v>
      </c>
      <c r="D90" s="128" t="s">
        <v>71</v>
      </c>
      <c r="E90" s="8"/>
    </row>
    <row r="91" spans="1:5" s="9" customFormat="1">
      <c r="A91" s="10">
        <v>5</v>
      </c>
      <c r="B91" s="119" t="s">
        <v>72</v>
      </c>
      <c r="C91" s="120"/>
      <c r="D91" s="121"/>
      <c r="E91" s="56" t="s">
        <v>13</v>
      </c>
    </row>
    <row r="92" spans="1:5" s="9" customFormat="1">
      <c r="A92" s="108" t="s">
        <v>1</v>
      </c>
      <c r="B92" s="57" t="s">
        <v>73</v>
      </c>
      <c r="C92" s="194">
        <v>0</v>
      </c>
      <c r="D92" s="195"/>
      <c r="E92" s="13">
        <f>+E89*C92</f>
        <v>0</v>
      </c>
    </row>
    <row r="93" spans="1:5" s="9" customFormat="1">
      <c r="A93" s="108" t="s">
        <v>3</v>
      </c>
      <c r="B93" s="57" t="s">
        <v>74</v>
      </c>
      <c r="C93" s="194">
        <v>0</v>
      </c>
      <c r="D93" s="195"/>
      <c r="E93" s="13">
        <f>C93*(+E89+E92)</f>
        <v>0</v>
      </c>
    </row>
    <row r="94" spans="1:5" s="9" customFormat="1" ht="33.75" customHeight="1">
      <c r="A94" s="196" t="s">
        <v>5</v>
      </c>
      <c r="B94" s="132" t="s">
        <v>166</v>
      </c>
      <c r="C94" s="134"/>
      <c r="D94" s="25">
        <f>+(100-8.65)/100</f>
        <v>0.91349999999999998</v>
      </c>
      <c r="E94" s="17">
        <f>+E89+E92+E93</f>
        <v>2002.87</v>
      </c>
    </row>
    <row r="95" spans="1:5" s="9" customFormat="1">
      <c r="A95" s="196"/>
      <c r="B95" s="109" t="s">
        <v>75</v>
      </c>
      <c r="E95" s="89">
        <f>+E94/D94</f>
        <v>2192.5232621784344</v>
      </c>
    </row>
    <row r="96" spans="1:5" s="9" customFormat="1">
      <c r="A96" s="196"/>
      <c r="B96" s="58" t="s">
        <v>76</v>
      </c>
      <c r="C96" s="59"/>
      <c r="D96" s="60"/>
      <c r="E96" s="13"/>
    </row>
    <row r="97" spans="1:6" s="9" customFormat="1">
      <c r="A97" s="196"/>
      <c r="B97" s="61" t="s">
        <v>101</v>
      </c>
      <c r="C97" s="62"/>
      <c r="D97" s="78">
        <v>6.4999999999999997E-3</v>
      </c>
      <c r="E97" s="13">
        <f>+E95*D97</f>
        <v>14.251401204159823</v>
      </c>
      <c r="F97" s="52"/>
    </row>
    <row r="98" spans="1:6" s="9" customFormat="1">
      <c r="A98" s="196"/>
      <c r="B98" s="61" t="s">
        <v>102</v>
      </c>
      <c r="C98" s="62"/>
      <c r="D98" s="78">
        <v>0.03</v>
      </c>
      <c r="E98" s="13">
        <f>+E95*D98</f>
        <v>65.775697865353024</v>
      </c>
    </row>
    <row r="99" spans="1:6" s="9" customFormat="1">
      <c r="A99" s="196"/>
      <c r="B99" s="63" t="s">
        <v>77</v>
      </c>
      <c r="C99" s="64"/>
      <c r="D99" s="65"/>
      <c r="E99" s="13"/>
    </row>
    <row r="100" spans="1:6" s="9" customFormat="1">
      <c r="A100" s="196"/>
      <c r="B100" s="63" t="s">
        <v>78</v>
      </c>
      <c r="C100" s="64"/>
      <c r="D100" s="66"/>
      <c r="E100" s="13"/>
    </row>
    <row r="101" spans="1:6" s="9" customFormat="1" ht="15.75" thickBot="1">
      <c r="A101" s="197"/>
      <c r="B101" s="67" t="s">
        <v>103</v>
      </c>
      <c r="C101" s="68"/>
      <c r="D101" s="79">
        <v>0.05</v>
      </c>
      <c r="E101" s="90">
        <f>+E95*D101</f>
        <v>109.62616310892173</v>
      </c>
    </row>
    <row r="102" spans="1:6" s="9" customFormat="1" ht="15.75" thickBot="1">
      <c r="A102" s="69"/>
      <c r="B102" s="70" t="s">
        <v>79</v>
      </c>
      <c r="C102" s="70"/>
      <c r="D102" s="71">
        <f>SUM(D97:D101)</f>
        <v>8.6499999999999994E-2</v>
      </c>
      <c r="E102" s="91">
        <f>SUM(E97:E101)</f>
        <v>189.65326217843457</v>
      </c>
    </row>
    <row r="103" spans="1:6" s="19" customFormat="1">
      <c r="A103" s="191" t="s">
        <v>80</v>
      </c>
      <c r="B103" s="192"/>
      <c r="C103" s="192"/>
      <c r="D103" s="193"/>
      <c r="E103" s="92">
        <f>+E92+E93+E102</f>
        <v>189.65326217843457</v>
      </c>
    </row>
    <row r="104" spans="1:6" s="9" customFormat="1">
      <c r="A104" s="186" t="s">
        <v>81</v>
      </c>
      <c r="B104" s="187"/>
      <c r="C104" s="187"/>
      <c r="D104" s="190"/>
      <c r="E104" s="72" t="s">
        <v>13</v>
      </c>
    </row>
    <row r="105" spans="1:6" s="9" customFormat="1">
      <c r="A105" s="108" t="s">
        <v>1</v>
      </c>
      <c r="B105" s="212" t="s">
        <v>82</v>
      </c>
      <c r="C105" s="213"/>
      <c r="D105" s="214"/>
      <c r="E105" s="13">
        <f>+E23</f>
        <v>965.25</v>
      </c>
    </row>
    <row r="106" spans="1:6" s="9" customFormat="1">
      <c r="A106" s="108" t="s">
        <v>3</v>
      </c>
      <c r="B106" s="212" t="s">
        <v>83</v>
      </c>
      <c r="C106" s="213"/>
      <c r="D106" s="214"/>
      <c r="E106" s="13">
        <f>+E31</f>
        <v>320.31</v>
      </c>
    </row>
    <row r="107" spans="1:6" s="9" customFormat="1">
      <c r="A107" s="108" t="s">
        <v>5</v>
      </c>
      <c r="B107" s="212" t="s">
        <v>84</v>
      </c>
      <c r="C107" s="213"/>
      <c r="D107" s="214"/>
      <c r="E107" s="13">
        <f>+E36</f>
        <v>0</v>
      </c>
    </row>
    <row r="108" spans="1:6" s="9" customFormat="1">
      <c r="A108" s="108" t="s">
        <v>7</v>
      </c>
      <c r="B108" s="212" t="s">
        <v>85</v>
      </c>
      <c r="C108" s="213"/>
      <c r="D108" s="214"/>
      <c r="E108" s="13">
        <f>+E88</f>
        <v>717.31000000000006</v>
      </c>
    </row>
    <row r="109" spans="1:6" s="9" customFormat="1">
      <c r="A109" s="116" t="s">
        <v>86</v>
      </c>
      <c r="B109" s="117"/>
      <c r="C109" s="202"/>
      <c r="D109" s="73"/>
      <c r="E109" s="18">
        <f>SUM(E105:E108)</f>
        <v>2002.87</v>
      </c>
    </row>
    <row r="110" spans="1:6" s="9" customFormat="1">
      <c r="A110" s="108" t="s">
        <v>20</v>
      </c>
      <c r="B110" s="212" t="s">
        <v>87</v>
      </c>
      <c r="C110" s="213"/>
      <c r="D110" s="214"/>
      <c r="E110" s="13">
        <f>+E103</f>
        <v>189.65326217843457</v>
      </c>
    </row>
    <row r="111" spans="1:6" s="19" customFormat="1" ht="15.75">
      <c r="A111" s="204" t="s">
        <v>88</v>
      </c>
      <c r="B111" s="205"/>
      <c r="C111" s="205"/>
      <c r="D111" s="206"/>
      <c r="E111" s="93">
        <f>+E109+E110</f>
        <v>2192.5232621784344</v>
      </c>
    </row>
  </sheetData>
  <sheetProtection password="CAC1" sheet="1" objects="1" scenarios="1"/>
  <mergeCells count="97">
    <mergeCell ref="A111:D111"/>
    <mergeCell ref="B61:D61"/>
    <mergeCell ref="B70:D70"/>
    <mergeCell ref="A68:C68"/>
    <mergeCell ref="A104:D104"/>
    <mergeCell ref="A77:C77"/>
    <mergeCell ref="A79:C79"/>
    <mergeCell ref="A80:E80"/>
    <mergeCell ref="B81:D81"/>
    <mergeCell ref="B110:D110"/>
    <mergeCell ref="B105:D105"/>
    <mergeCell ref="B106:D106"/>
    <mergeCell ref="B107:D107"/>
    <mergeCell ref="B108:D108"/>
    <mergeCell ref="A109:C109"/>
    <mergeCell ref="A90:D90"/>
    <mergeCell ref="A59:C59"/>
    <mergeCell ref="B53:C53"/>
    <mergeCell ref="B57:C57"/>
    <mergeCell ref="B58:C58"/>
    <mergeCell ref="A38:E38"/>
    <mergeCell ref="B45:C45"/>
    <mergeCell ref="B46:C46"/>
    <mergeCell ref="B47:C47"/>
    <mergeCell ref="B51:C51"/>
    <mergeCell ref="A49:E49"/>
    <mergeCell ref="A55:E55"/>
    <mergeCell ref="B40:C40"/>
    <mergeCell ref="A52:C52"/>
    <mergeCell ref="A54:C54"/>
    <mergeCell ref="B39:C39"/>
    <mergeCell ref="B91:D91"/>
    <mergeCell ref="B94:C94"/>
    <mergeCell ref="A103:D103"/>
    <mergeCell ref="C92:D92"/>
    <mergeCell ref="C93:D93"/>
    <mergeCell ref="A94:A101"/>
    <mergeCell ref="A89:C89"/>
    <mergeCell ref="B56:D56"/>
    <mergeCell ref="B62:C62"/>
    <mergeCell ref="B63:C63"/>
    <mergeCell ref="B64:C64"/>
    <mergeCell ref="B65:C65"/>
    <mergeCell ref="B66:C66"/>
    <mergeCell ref="A60:E60"/>
    <mergeCell ref="A69:E69"/>
    <mergeCell ref="B82:D82"/>
    <mergeCell ref="B83:D83"/>
    <mergeCell ref="B87:D87"/>
    <mergeCell ref="A88:D88"/>
    <mergeCell ref="B75:C75"/>
    <mergeCell ref="B76:C76"/>
    <mergeCell ref="B84:D84"/>
    <mergeCell ref="A11:B11"/>
    <mergeCell ref="C11:E11"/>
    <mergeCell ref="A12:E12"/>
    <mergeCell ref="A13:E13"/>
    <mergeCell ref="A23:D23"/>
    <mergeCell ref="C16:E16"/>
    <mergeCell ref="A14:D14"/>
    <mergeCell ref="C15:E15"/>
    <mergeCell ref="C17:E17"/>
    <mergeCell ref="C18:E18"/>
    <mergeCell ref="A19:D19"/>
    <mergeCell ref="A2:C2"/>
    <mergeCell ref="D2:E2"/>
    <mergeCell ref="A3:C3"/>
    <mergeCell ref="D3:E3"/>
    <mergeCell ref="C10:E10"/>
    <mergeCell ref="A4:E4"/>
    <mergeCell ref="C5:E5"/>
    <mergeCell ref="C6:E6"/>
    <mergeCell ref="C7:E7"/>
    <mergeCell ref="C8:E8"/>
    <mergeCell ref="A9:E9"/>
    <mergeCell ref="A10:B10"/>
    <mergeCell ref="B86:D86"/>
    <mergeCell ref="B67:C67"/>
    <mergeCell ref="B71:C71"/>
    <mergeCell ref="B72:C72"/>
    <mergeCell ref="B73:C73"/>
    <mergeCell ref="B74:C74"/>
    <mergeCell ref="B85:D85"/>
    <mergeCell ref="A36:D36"/>
    <mergeCell ref="A48:C48"/>
    <mergeCell ref="B50:D50"/>
    <mergeCell ref="C21:D21"/>
    <mergeCell ref="B20:D20"/>
    <mergeCell ref="C22:D22"/>
    <mergeCell ref="A24:D24"/>
    <mergeCell ref="A31:D31"/>
    <mergeCell ref="A37:E37"/>
    <mergeCell ref="B41:C41"/>
    <mergeCell ref="B42:C42"/>
    <mergeCell ref="B43:C43"/>
    <mergeCell ref="B44:C44"/>
    <mergeCell ref="A32:E32"/>
  </mergeCells>
  <printOptions horizontalCentered="1"/>
  <pageMargins left="3.937007874015748E-2" right="3.937007874015748E-2" top="0.15748031496062992" bottom="0.15748031496062992" header="0.31496062992125984" footer="0"/>
  <pageSetup paperSize="9" scale="58" fitToHeight="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5"/>
  <sheetViews>
    <sheetView showGridLines="0" workbookViewId="0">
      <selection sqref="A1:XFD1048576"/>
    </sheetView>
  </sheetViews>
  <sheetFormatPr defaultRowHeight="15"/>
  <cols>
    <col min="1" max="1" width="5.140625" style="80" bestFit="1" customWidth="1"/>
    <col min="2" max="2" width="28.7109375" style="80" bestFit="1" customWidth="1"/>
    <col min="3" max="3" width="9.140625" style="80"/>
    <col min="4" max="5" width="15.140625" style="80" customWidth="1"/>
    <col min="6" max="7" width="10.42578125" style="80" customWidth="1"/>
    <col min="8" max="16384" width="9.140625" style="80"/>
  </cols>
  <sheetData>
    <row r="2" spans="1:7">
      <c r="A2" s="218" t="s">
        <v>124</v>
      </c>
      <c r="B2" s="218"/>
      <c r="C2" s="218"/>
      <c r="D2" s="218"/>
      <c r="E2" s="218"/>
      <c r="F2" s="218"/>
      <c r="G2" s="218"/>
    </row>
    <row r="3" spans="1:7" ht="45">
      <c r="A3" s="95" t="s">
        <v>112</v>
      </c>
      <c r="B3" s="95" t="s">
        <v>113</v>
      </c>
      <c r="C3" s="95" t="s">
        <v>114</v>
      </c>
      <c r="D3" s="95" t="s">
        <v>117</v>
      </c>
      <c r="E3" s="95" t="s">
        <v>115</v>
      </c>
      <c r="F3" s="95" t="s">
        <v>118</v>
      </c>
      <c r="G3" s="95" t="s">
        <v>116</v>
      </c>
    </row>
    <row r="4" spans="1:7">
      <c r="A4" s="96" t="s">
        <v>119</v>
      </c>
      <c r="B4" s="97" t="s">
        <v>152</v>
      </c>
      <c r="C4" s="105">
        <v>2</v>
      </c>
      <c r="D4" s="103"/>
      <c r="E4" s="99">
        <f>TRUNC(C4*D4,2)</f>
        <v>0</v>
      </c>
      <c r="F4" s="98">
        <v>12</v>
      </c>
      <c r="G4" s="99">
        <f>TRUNC(E4/F4,2)</f>
        <v>0</v>
      </c>
    </row>
    <row r="5" spans="1:7">
      <c r="A5" s="96" t="s">
        <v>120</v>
      </c>
      <c r="B5" s="97" t="s">
        <v>156</v>
      </c>
      <c r="C5" s="105">
        <v>6</v>
      </c>
      <c r="D5" s="103"/>
      <c r="E5" s="99">
        <f t="shared" ref="E5:E11" si="0">TRUNC(C5*D5,2)</f>
        <v>0</v>
      </c>
      <c r="F5" s="98">
        <v>12</v>
      </c>
      <c r="G5" s="99">
        <f t="shared" ref="G5:G11" si="1">TRUNC(E5/F5,2)</f>
        <v>0</v>
      </c>
    </row>
    <row r="6" spans="1:7">
      <c r="A6" s="96" t="s">
        <v>121</v>
      </c>
      <c r="B6" s="97" t="s">
        <v>153</v>
      </c>
      <c r="C6" s="105">
        <v>4</v>
      </c>
      <c r="D6" s="103"/>
      <c r="E6" s="99">
        <f t="shared" si="0"/>
        <v>0</v>
      </c>
      <c r="F6" s="98">
        <v>12</v>
      </c>
      <c r="G6" s="99">
        <f t="shared" si="1"/>
        <v>0</v>
      </c>
    </row>
    <row r="7" spans="1:7">
      <c r="A7" s="96" t="s">
        <v>122</v>
      </c>
      <c r="B7" s="97" t="s">
        <v>158</v>
      </c>
      <c r="C7" s="105">
        <v>2</v>
      </c>
      <c r="D7" s="103"/>
      <c r="E7" s="99">
        <f t="shared" ref="E7" si="2">TRUNC(C7*D7,2)</f>
        <v>0</v>
      </c>
      <c r="F7" s="98">
        <v>12</v>
      </c>
      <c r="G7" s="99">
        <f t="shared" ref="G7" si="3">TRUNC(E7/F7,2)</f>
        <v>0</v>
      </c>
    </row>
    <row r="8" spans="1:7">
      <c r="A8" s="96" t="s">
        <v>150</v>
      </c>
      <c r="B8" s="97" t="s">
        <v>160</v>
      </c>
      <c r="C8" s="105">
        <v>4</v>
      </c>
      <c r="D8" s="103"/>
      <c r="E8" s="99"/>
      <c r="F8" s="98"/>
      <c r="G8" s="99"/>
    </row>
    <row r="9" spans="1:7">
      <c r="A9" s="96" t="s">
        <v>154</v>
      </c>
      <c r="B9" s="97" t="s">
        <v>161</v>
      </c>
      <c r="C9" s="105">
        <v>2</v>
      </c>
      <c r="D9" s="103"/>
      <c r="E9" s="99">
        <f t="shared" ref="E9" si="4">TRUNC(C9*D9,2)</f>
        <v>0</v>
      </c>
      <c r="F9" s="98">
        <v>12</v>
      </c>
      <c r="G9" s="99">
        <f t="shared" ref="G9" si="5">TRUNC(E9/F9,2)</f>
        <v>0</v>
      </c>
    </row>
    <row r="10" spans="1:7">
      <c r="A10" s="96" t="s">
        <v>157</v>
      </c>
      <c r="B10" s="97" t="s">
        <v>155</v>
      </c>
      <c r="C10" s="105">
        <v>2</v>
      </c>
      <c r="D10" s="103"/>
      <c r="E10" s="99">
        <f t="shared" ref="E10" si="6">TRUNC(C10*D10,2)</f>
        <v>0</v>
      </c>
      <c r="F10" s="98">
        <v>12</v>
      </c>
      <c r="G10" s="99">
        <f t="shared" ref="G10" si="7">TRUNC(E10/F10,2)</f>
        <v>0</v>
      </c>
    </row>
    <row r="11" spans="1:7">
      <c r="A11" s="96" t="s">
        <v>159</v>
      </c>
      <c r="B11" s="97" t="s">
        <v>162</v>
      </c>
      <c r="C11" s="105">
        <v>1</v>
      </c>
      <c r="D11" s="103"/>
      <c r="E11" s="99">
        <f t="shared" si="0"/>
        <v>0</v>
      </c>
      <c r="F11" s="98">
        <v>12</v>
      </c>
      <c r="G11" s="99">
        <f t="shared" si="1"/>
        <v>0</v>
      </c>
    </row>
    <row r="12" spans="1:7">
      <c r="A12" s="219" t="s">
        <v>123</v>
      </c>
      <c r="B12" s="219"/>
      <c r="C12" s="219"/>
      <c r="D12" s="219"/>
      <c r="E12" s="219"/>
      <c r="F12" s="219"/>
      <c r="G12" s="81">
        <f>SUM(G4:G11)</f>
        <v>0</v>
      </c>
    </row>
    <row r="14" spans="1:7" ht="45">
      <c r="B14" s="106" t="s">
        <v>163</v>
      </c>
    </row>
    <row r="15" spans="1:7">
      <c r="B15" s="107"/>
    </row>
  </sheetData>
  <sheetProtection password="CAC1" sheet="1" objects="1" scenarios="1"/>
  <sortState ref="B16:G30">
    <sortCondition ref="B16:B30"/>
  </sortState>
  <mergeCells count="2">
    <mergeCell ref="A2:G2"/>
    <mergeCell ref="A12:F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>
      <selection activeCell="A7" sqref="A7"/>
    </sheetView>
  </sheetViews>
  <sheetFormatPr defaultRowHeight="18.75"/>
  <cols>
    <col min="1" max="1" width="20.140625" style="82" bestFit="1" customWidth="1"/>
    <col min="2" max="2" width="18.42578125" style="82" customWidth="1"/>
    <col min="3" max="3" width="17.28515625" style="82" customWidth="1"/>
    <col min="4" max="4" width="17.7109375" style="82" bestFit="1" customWidth="1"/>
    <col min="5" max="5" width="19.140625" style="82" bestFit="1" customWidth="1"/>
    <col min="6" max="16384" width="9.140625" style="82"/>
  </cols>
  <sheetData>
    <row r="1" spans="1:5" ht="23.25">
      <c r="B1" s="223" t="s">
        <v>149</v>
      </c>
      <c r="C1" s="223"/>
      <c r="D1" s="223"/>
    </row>
    <row r="3" spans="1:5" ht="56.25">
      <c r="A3" s="94" t="s">
        <v>135</v>
      </c>
      <c r="B3" s="94" t="s">
        <v>151</v>
      </c>
      <c r="C3" s="94" t="s">
        <v>136</v>
      </c>
      <c r="D3" s="94" t="s">
        <v>137</v>
      </c>
      <c r="E3" s="94" t="s">
        <v>138</v>
      </c>
    </row>
    <row r="4" spans="1:5">
      <c r="A4" s="83" t="str">
        <f>'Recife SEDE'!C6</f>
        <v>Recife-PE (Sede)</v>
      </c>
      <c r="B4" s="101">
        <v>2</v>
      </c>
      <c r="C4" s="84">
        <f>'Recife SEDE'!E111</f>
        <v>2192.5232621784344</v>
      </c>
      <c r="D4" s="84">
        <f>C4*B4</f>
        <v>4385.0465243568688</v>
      </c>
      <c r="E4" s="84">
        <f>D4*12</f>
        <v>52620.558292282425</v>
      </c>
    </row>
    <row r="5" spans="1:5">
      <c r="A5" s="83" t="str">
        <f>'Recife CEE'!C6</f>
        <v>Recife-PE (CEE)</v>
      </c>
      <c r="B5" s="101">
        <f>'Recife CEE'!C11</f>
        <v>4</v>
      </c>
      <c r="C5" s="84">
        <f>'Recife CEE'!E111</f>
        <v>2192.5232621784344</v>
      </c>
      <c r="D5" s="84">
        <f>C5*B5</f>
        <v>8770.0930487137375</v>
      </c>
      <c r="E5" s="84">
        <f>D5*12</f>
        <v>105241.11658456485</v>
      </c>
    </row>
    <row r="6" spans="1:5">
      <c r="A6" s="83" t="str">
        <f>'Cabo Sto Agostinho'!C6</f>
        <v>Cabo-PE</v>
      </c>
      <c r="B6" s="101">
        <f>'Cabo Sto Agostinho'!C11</f>
        <v>1</v>
      </c>
      <c r="C6" s="84">
        <f>'Cabo Sto Agostinho'!E111</f>
        <v>2192.5232621784344</v>
      </c>
      <c r="D6" s="84">
        <f t="shared" ref="D6:D12" si="0">C6*B6</f>
        <v>2192.5232621784344</v>
      </c>
      <c r="E6" s="84">
        <f t="shared" ref="E6:E12" si="1">D6*12</f>
        <v>26310.279146141213</v>
      </c>
    </row>
    <row r="7" spans="1:5">
      <c r="A7" s="83" t="str">
        <f>Goiana!C6</f>
        <v>Goiana-PE</v>
      </c>
      <c r="B7" s="101">
        <f>Goiana!C11</f>
        <v>1</v>
      </c>
      <c r="C7" s="84">
        <f>Goiana!E111</f>
        <v>2192.5232621784344</v>
      </c>
      <c r="D7" s="84">
        <f t="shared" si="0"/>
        <v>2192.5232621784344</v>
      </c>
      <c r="E7" s="84">
        <f t="shared" si="1"/>
        <v>26310.279146141213</v>
      </c>
    </row>
    <row r="8" spans="1:5">
      <c r="A8" s="83" t="str">
        <f>Caruaru!C6</f>
        <v>Caruaru-PE</v>
      </c>
      <c r="B8" s="101">
        <f>Caruaru!C11</f>
        <v>1</v>
      </c>
      <c r="C8" s="84">
        <f>Caruaru!E111</f>
        <v>2192.5232621784344</v>
      </c>
      <c r="D8" s="84">
        <f t="shared" si="0"/>
        <v>2192.5232621784344</v>
      </c>
      <c r="E8" s="84">
        <f t="shared" si="1"/>
        <v>26310.279146141213</v>
      </c>
    </row>
    <row r="9" spans="1:5">
      <c r="A9" s="83" t="str">
        <f>Garanhuns!C6</f>
        <v>Garanhuns-PE</v>
      </c>
      <c r="B9" s="101">
        <f>Garanhuns!C11</f>
        <v>1</v>
      </c>
      <c r="C9" s="84">
        <f>Garanhuns!E111</f>
        <v>2192.5232621784344</v>
      </c>
      <c r="D9" s="84">
        <f t="shared" si="0"/>
        <v>2192.5232621784344</v>
      </c>
      <c r="E9" s="84">
        <f t="shared" si="1"/>
        <v>26310.279146141213</v>
      </c>
    </row>
    <row r="10" spans="1:5">
      <c r="A10" s="83" t="str">
        <f>'Serra Talhada'!C6</f>
        <v>Serra Talhada-PE</v>
      </c>
      <c r="B10" s="101">
        <f>'Serra Talhada'!C11</f>
        <v>1</v>
      </c>
      <c r="C10" s="84">
        <f>'Serra Talhada'!E111</f>
        <v>2192.5232621784344</v>
      </c>
      <c r="D10" s="84">
        <f t="shared" si="0"/>
        <v>2192.5232621784344</v>
      </c>
      <c r="E10" s="84">
        <f t="shared" si="1"/>
        <v>26310.279146141213</v>
      </c>
    </row>
    <row r="11" spans="1:5">
      <c r="A11" s="83" t="str">
        <f>Petrolina!C6</f>
        <v>Petrolina-PE</v>
      </c>
      <c r="B11" s="101">
        <f>Petrolina!C11</f>
        <v>1</v>
      </c>
      <c r="C11" s="84">
        <f>Petrolina!E111</f>
        <v>2192.5232621784344</v>
      </c>
      <c r="D11" s="84">
        <f t="shared" si="0"/>
        <v>2192.5232621784344</v>
      </c>
      <c r="E11" s="84">
        <f t="shared" si="1"/>
        <v>26310.279146141213</v>
      </c>
    </row>
    <row r="12" spans="1:5">
      <c r="A12" s="83" t="str">
        <f>Araripina!C6</f>
        <v>Araripina-PE</v>
      </c>
      <c r="B12" s="101">
        <f>Araripina!C11</f>
        <v>1</v>
      </c>
      <c r="C12" s="84">
        <f>Araripina!E111</f>
        <v>2192.5232621784344</v>
      </c>
      <c r="D12" s="84">
        <f t="shared" si="0"/>
        <v>2192.5232621784344</v>
      </c>
      <c r="E12" s="84">
        <f t="shared" si="1"/>
        <v>26310.279146141213</v>
      </c>
    </row>
    <row r="13" spans="1:5">
      <c r="A13" s="220" t="s">
        <v>35</v>
      </c>
      <c r="B13" s="221"/>
      <c r="C13" s="222"/>
      <c r="D13" s="104">
        <f>SUM(D4:D12)</f>
        <v>28502.802408319647</v>
      </c>
      <c r="E13" s="104">
        <f>SUM(E4:E12)</f>
        <v>342033.62889983569</v>
      </c>
    </row>
  </sheetData>
  <sheetProtection password="CAC1" sheet="1" objects="1" scenarios="1"/>
  <mergeCells count="2">
    <mergeCell ref="A13:C13"/>
    <mergeCell ref="B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1"/>
  <sheetViews>
    <sheetView showGridLines="0" topLeftCell="A88" zoomScale="90" zoomScaleNormal="90" zoomScaleSheetLayoutView="145" zoomScalePageLayoutView="55" workbookViewId="0">
      <pane xSplit="1" topLeftCell="B1" activePane="topRight" state="frozen"/>
      <selection activeCell="A10" sqref="A10"/>
      <selection pane="topRight" sqref="A1:XFD1048576"/>
    </sheetView>
  </sheetViews>
  <sheetFormatPr defaultRowHeight="15"/>
  <cols>
    <col min="1" max="1" width="9.140625" style="74" customWidth="1"/>
    <col min="2" max="2" width="45.7109375" style="75" bestFit="1" customWidth="1"/>
    <col min="3" max="3" width="24.28515625" style="75" customWidth="1"/>
    <col min="4" max="4" width="14.5703125" style="76" customWidth="1"/>
    <col min="5" max="5" width="16.28515625" style="77" customWidth="1"/>
    <col min="6" max="6" width="31.85546875" style="1" customWidth="1"/>
    <col min="7" max="7" width="5.5703125" style="1" customWidth="1"/>
    <col min="8" max="8" width="11.140625" style="1" hidden="1" customWidth="1"/>
    <col min="9" max="9" width="22" style="1" customWidth="1"/>
    <col min="10" max="16384" width="9.140625" style="1"/>
  </cols>
  <sheetData>
    <row r="2" spans="1:5">
      <c r="A2" s="141" t="s">
        <v>90</v>
      </c>
      <c r="B2" s="142"/>
      <c r="C2" s="143"/>
      <c r="D2" s="144"/>
      <c r="E2" s="145"/>
    </row>
    <row r="3" spans="1:5">
      <c r="A3" s="141" t="s">
        <v>91</v>
      </c>
      <c r="B3" s="142"/>
      <c r="C3" s="143"/>
      <c r="D3" s="217"/>
      <c r="E3" s="145"/>
    </row>
    <row r="4" spans="1:5" s="2" customFormat="1">
      <c r="A4" s="150" t="s">
        <v>0</v>
      </c>
      <c r="B4" s="151"/>
      <c r="C4" s="151"/>
      <c r="D4" s="151"/>
      <c r="E4" s="152"/>
    </row>
    <row r="5" spans="1:5">
      <c r="A5" s="3" t="s">
        <v>1</v>
      </c>
      <c r="B5" s="4" t="s">
        <v>2</v>
      </c>
      <c r="C5" s="153">
        <f>'Recife SEDE'!C5:E5</f>
        <v>42583</v>
      </c>
      <c r="D5" s="154"/>
      <c r="E5" s="155"/>
    </row>
    <row r="6" spans="1:5">
      <c r="A6" s="3" t="s">
        <v>3</v>
      </c>
      <c r="B6" s="4" t="s">
        <v>4</v>
      </c>
      <c r="C6" s="156" t="s">
        <v>141</v>
      </c>
      <c r="D6" s="157"/>
      <c r="E6" s="158"/>
    </row>
    <row r="7" spans="1:5" ht="30">
      <c r="A7" s="3" t="s">
        <v>5</v>
      </c>
      <c r="B7" s="4" t="s">
        <v>6</v>
      </c>
      <c r="C7" s="153" t="str">
        <f>'Recife SEDE'!C7:E7</f>
        <v>2016/2016 - Registro no MTE: PE000143/2016</v>
      </c>
      <c r="D7" s="154"/>
      <c r="E7" s="155"/>
    </row>
    <row r="8" spans="1:5">
      <c r="A8" s="3" t="s">
        <v>7</v>
      </c>
      <c r="B8" s="4" t="s">
        <v>92</v>
      </c>
      <c r="C8" s="156" t="s">
        <v>96</v>
      </c>
      <c r="D8" s="157"/>
      <c r="E8" s="158"/>
    </row>
    <row r="9" spans="1:5" s="2" customFormat="1">
      <c r="A9" s="159" t="s">
        <v>8</v>
      </c>
      <c r="B9" s="160"/>
      <c r="C9" s="160"/>
      <c r="D9" s="160"/>
      <c r="E9" s="161"/>
    </row>
    <row r="10" spans="1:5">
      <c r="A10" s="162" t="s">
        <v>9</v>
      </c>
      <c r="B10" s="163"/>
      <c r="C10" s="147" t="s">
        <v>109</v>
      </c>
      <c r="D10" s="148"/>
      <c r="E10" s="149"/>
    </row>
    <row r="11" spans="1:5">
      <c r="A11" s="154" t="s">
        <v>140</v>
      </c>
      <c r="B11" s="155"/>
      <c r="C11" s="164">
        <v>4</v>
      </c>
      <c r="D11" s="164"/>
      <c r="E11" s="164"/>
    </row>
    <row r="12" spans="1:5" s="2" customFormat="1">
      <c r="A12" s="165" t="s">
        <v>10</v>
      </c>
      <c r="B12" s="166"/>
      <c r="C12" s="166"/>
      <c r="D12" s="166"/>
      <c r="E12" s="167"/>
    </row>
    <row r="13" spans="1:5" s="2" customFormat="1">
      <c r="A13" s="168" t="s">
        <v>11</v>
      </c>
      <c r="B13" s="169"/>
      <c r="C13" s="169"/>
      <c r="D13" s="169"/>
      <c r="E13" s="170"/>
    </row>
    <row r="14" spans="1:5">
      <c r="A14" s="174" t="s">
        <v>12</v>
      </c>
      <c r="B14" s="175"/>
      <c r="C14" s="175"/>
      <c r="D14" s="176"/>
      <c r="E14" s="5" t="s">
        <v>13</v>
      </c>
    </row>
    <row r="15" spans="1:5" ht="30">
      <c r="A15" s="3">
        <v>1</v>
      </c>
      <c r="B15" s="6" t="s">
        <v>93</v>
      </c>
      <c r="C15" s="177" t="s">
        <v>140</v>
      </c>
      <c r="D15" s="178"/>
      <c r="E15" s="179"/>
    </row>
    <row r="16" spans="1:5">
      <c r="A16" s="3">
        <v>2</v>
      </c>
      <c r="B16" s="6" t="s">
        <v>14</v>
      </c>
      <c r="C16" s="171">
        <v>965.25</v>
      </c>
      <c r="D16" s="172"/>
      <c r="E16" s="173"/>
    </row>
    <row r="17" spans="1:9" ht="30">
      <c r="A17" s="3">
        <v>3</v>
      </c>
      <c r="B17" s="6" t="s">
        <v>15</v>
      </c>
      <c r="C17" s="177" t="s">
        <v>140</v>
      </c>
      <c r="D17" s="178"/>
      <c r="E17" s="179"/>
    </row>
    <row r="18" spans="1:9">
      <c r="A18" s="3">
        <v>4</v>
      </c>
      <c r="B18" s="7" t="s">
        <v>16</v>
      </c>
      <c r="C18" s="180" t="s">
        <v>108</v>
      </c>
      <c r="D18" s="181"/>
      <c r="E18" s="182"/>
    </row>
    <row r="19" spans="1:9" s="9" customFormat="1">
      <c r="A19" s="183" t="s">
        <v>17</v>
      </c>
      <c r="B19" s="184"/>
      <c r="C19" s="184"/>
      <c r="D19" s="185"/>
      <c r="E19" s="8"/>
    </row>
    <row r="20" spans="1:9" s="9" customFormat="1">
      <c r="A20" s="10">
        <v>1</v>
      </c>
      <c r="B20" s="119" t="s">
        <v>18</v>
      </c>
      <c r="C20" s="120"/>
      <c r="D20" s="121"/>
      <c r="E20" s="5" t="s">
        <v>13</v>
      </c>
    </row>
    <row r="21" spans="1:9">
      <c r="A21" s="11" t="s">
        <v>1</v>
      </c>
      <c r="B21" s="12" t="s">
        <v>19</v>
      </c>
      <c r="C21" s="122"/>
      <c r="D21" s="123"/>
      <c r="E21" s="13">
        <f>+C16</f>
        <v>965.25</v>
      </c>
      <c r="H21" s="1">
        <f>+$E$21*2</f>
        <v>1930.5</v>
      </c>
    </row>
    <row r="22" spans="1:9">
      <c r="A22" s="11" t="s">
        <v>3</v>
      </c>
      <c r="B22" s="16" t="s">
        <v>23</v>
      </c>
      <c r="C22" s="124"/>
      <c r="D22" s="125"/>
      <c r="E22" s="14">
        <f>C22*$C$16</f>
        <v>0</v>
      </c>
      <c r="F22" s="15"/>
      <c r="H22" s="1">
        <f t="shared" ref="H22" si="0">+$E$21*2</f>
        <v>1930.5</v>
      </c>
    </row>
    <row r="23" spans="1:9" s="19" customFormat="1">
      <c r="A23" s="113" t="s">
        <v>24</v>
      </c>
      <c r="B23" s="114"/>
      <c r="C23" s="114"/>
      <c r="D23" s="115"/>
      <c r="E23" s="18">
        <f>TRUNC(SUM(E21:E22),2)</f>
        <v>965.25</v>
      </c>
      <c r="F23" s="15"/>
    </row>
    <row r="24" spans="1:9" s="9" customFormat="1">
      <c r="A24" s="126" t="s">
        <v>95</v>
      </c>
      <c r="B24" s="127"/>
      <c r="C24" s="127"/>
      <c r="D24" s="128"/>
      <c r="E24" s="8"/>
      <c r="F24" s="15"/>
    </row>
    <row r="25" spans="1:9">
      <c r="A25" s="10">
        <v>2</v>
      </c>
      <c r="B25" s="20" t="s">
        <v>25</v>
      </c>
      <c r="C25" s="20" t="s">
        <v>110</v>
      </c>
      <c r="D25" s="20" t="s">
        <v>111</v>
      </c>
      <c r="E25" s="5" t="s">
        <v>13</v>
      </c>
      <c r="F25" s="15"/>
    </row>
    <row r="26" spans="1:9">
      <c r="A26" s="21" t="s">
        <v>1</v>
      </c>
      <c r="B26" s="16" t="s">
        <v>100</v>
      </c>
      <c r="C26" s="3">
        <v>44</v>
      </c>
      <c r="D26" s="100">
        <v>2.8</v>
      </c>
      <c r="E26" s="22">
        <f>+TRUNC((C26*D26)-(C16*0.06),2)</f>
        <v>65.28</v>
      </c>
      <c r="F26" s="15"/>
      <c r="I26" s="15"/>
    </row>
    <row r="27" spans="1:9">
      <c r="A27" s="21" t="s">
        <v>3</v>
      </c>
      <c r="B27" s="16" t="s">
        <v>133</v>
      </c>
      <c r="C27" s="3">
        <v>22</v>
      </c>
      <c r="D27" s="85">
        <v>6.66</v>
      </c>
      <c r="E27" s="22">
        <f>TRUNC((C27*D27)*0.8,2)</f>
        <v>117.21</v>
      </c>
      <c r="F27" s="23"/>
      <c r="I27" s="15"/>
    </row>
    <row r="28" spans="1:9">
      <c r="A28" s="21" t="s">
        <v>5</v>
      </c>
      <c r="B28" s="16" t="s">
        <v>132</v>
      </c>
      <c r="C28" s="3">
        <v>1</v>
      </c>
      <c r="D28" s="85">
        <v>100</v>
      </c>
      <c r="E28" s="22">
        <f>TRUNC((C28*D28),2)</f>
        <v>100</v>
      </c>
      <c r="F28" s="15"/>
      <c r="I28" s="15"/>
    </row>
    <row r="29" spans="1:9">
      <c r="A29" s="21" t="s">
        <v>7</v>
      </c>
      <c r="B29" s="16" t="s">
        <v>134</v>
      </c>
      <c r="C29" s="3">
        <v>1</v>
      </c>
      <c r="D29" s="85">
        <v>37.82</v>
      </c>
      <c r="E29" s="22">
        <f>TRUNC((C29*D29),2)</f>
        <v>37.82</v>
      </c>
      <c r="I29" s="15"/>
    </row>
    <row r="30" spans="1:9">
      <c r="A30" s="21" t="s">
        <v>20</v>
      </c>
      <c r="B30" s="16" t="s">
        <v>106</v>
      </c>
      <c r="C30" s="3">
        <v>0</v>
      </c>
      <c r="D30" s="85">
        <v>0</v>
      </c>
      <c r="E30" s="22">
        <f>TRUNC((C30*D30),2)</f>
        <v>0</v>
      </c>
      <c r="I30" s="15"/>
    </row>
    <row r="31" spans="1:9" s="19" customFormat="1">
      <c r="A31" s="113" t="s">
        <v>26</v>
      </c>
      <c r="B31" s="114"/>
      <c r="C31" s="114"/>
      <c r="D31" s="115"/>
      <c r="E31" s="18">
        <f>SUM(E26:E30)</f>
        <v>320.31</v>
      </c>
    </row>
    <row r="32" spans="1:9" s="9" customFormat="1">
      <c r="A32" s="126" t="s">
        <v>27</v>
      </c>
      <c r="B32" s="127"/>
      <c r="C32" s="127"/>
      <c r="D32" s="127"/>
      <c r="E32" s="128"/>
    </row>
    <row r="33" spans="1:10" s="9" customFormat="1">
      <c r="A33" s="10">
        <v>3</v>
      </c>
      <c r="B33" s="20" t="s">
        <v>28</v>
      </c>
      <c r="C33" s="20" t="s">
        <v>110</v>
      </c>
      <c r="D33" s="20" t="s">
        <v>111</v>
      </c>
      <c r="E33" s="5" t="s">
        <v>13</v>
      </c>
    </row>
    <row r="34" spans="1:10" s="9" customFormat="1">
      <c r="A34" s="21" t="s">
        <v>1</v>
      </c>
      <c r="B34" s="16" t="s">
        <v>167</v>
      </c>
      <c r="C34" s="24">
        <v>1</v>
      </c>
      <c r="D34" s="13">
        <f>Uniforme!G12</f>
        <v>0</v>
      </c>
      <c r="E34" s="13">
        <f>TRUNC((C34*D34),2)</f>
        <v>0</v>
      </c>
      <c r="F34" s="26"/>
    </row>
    <row r="35" spans="1:10" s="9" customFormat="1">
      <c r="A35" s="21" t="s">
        <v>3</v>
      </c>
      <c r="B35" s="16" t="s">
        <v>107</v>
      </c>
      <c r="C35" s="27">
        <v>0</v>
      </c>
      <c r="D35" s="86">
        <v>0</v>
      </c>
      <c r="E35" s="13">
        <f>TRUNC((C35*D35),2)</f>
        <v>0</v>
      </c>
    </row>
    <row r="36" spans="1:10" s="19" customFormat="1">
      <c r="A36" s="113" t="s">
        <v>29</v>
      </c>
      <c r="B36" s="114"/>
      <c r="C36" s="114"/>
      <c r="D36" s="115"/>
      <c r="E36" s="18">
        <f>SUM(E34:E35)</f>
        <v>0</v>
      </c>
      <c r="F36" s="28"/>
      <c r="H36" s="32"/>
      <c r="J36" s="30"/>
    </row>
    <row r="37" spans="1:10" s="9" customFormat="1">
      <c r="A37" s="126" t="s">
        <v>30</v>
      </c>
      <c r="B37" s="127"/>
      <c r="C37" s="127"/>
      <c r="D37" s="127"/>
      <c r="E37" s="128"/>
      <c r="F37" s="28"/>
      <c r="H37" s="29"/>
      <c r="J37" s="30"/>
    </row>
    <row r="38" spans="1:10" s="9" customFormat="1">
      <c r="A38" s="126" t="s">
        <v>31</v>
      </c>
      <c r="B38" s="127"/>
      <c r="C38" s="127"/>
      <c r="D38" s="127"/>
      <c r="E38" s="128"/>
      <c r="F38" s="28"/>
      <c r="H38" s="29"/>
      <c r="J38" s="30"/>
    </row>
    <row r="39" spans="1:10" s="9" customFormat="1">
      <c r="A39" s="33" t="s">
        <v>32</v>
      </c>
      <c r="B39" s="119" t="s">
        <v>33</v>
      </c>
      <c r="C39" s="203"/>
      <c r="D39" s="20" t="s">
        <v>130</v>
      </c>
      <c r="E39" s="5" t="s">
        <v>13</v>
      </c>
      <c r="F39" s="28"/>
      <c r="H39" s="29"/>
      <c r="J39" s="30"/>
    </row>
    <row r="40" spans="1:10" s="9" customFormat="1">
      <c r="A40" s="21" t="s">
        <v>1</v>
      </c>
      <c r="B40" s="129" t="s">
        <v>127</v>
      </c>
      <c r="C40" s="130"/>
      <c r="D40" s="34">
        <v>0.2</v>
      </c>
      <c r="E40" s="17">
        <f>TRUNC($E$23*D40,2)</f>
        <v>193.05</v>
      </c>
      <c r="F40" s="28"/>
      <c r="H40" s="29"/>
      <c r="J40" s="30"/>
    </row>
    <row r="41" spans="1:10" s="9" customFormat="1">
      <c r="A41" s="21" t="s">
        <v>3</v>
      </c>
      <c r="B41" s="129" t="s">
        <v>128</v>
      </c>
      <c r="C41" s="130"/>
      <c r="D41" s="34">
        <v>1.4999999999999999E-2</v>
      </c>
      <c r="E41" s="17">
        <f t="shared" ref="E41:E47" si="1">TRUNC($E$23*D41,2)</f>
        <v>14.47</v>
      </c>
      <c r="F41" s="28"/>
      <c r="H41" s="29"/>
      <c r="J41" s="30"/>
    </row>
    <row r="42" spans="1:10" s="9" customFormat="1">
      <c r="A42" s="21" t="s">
        <v>5</v>
      </c>
      <c r="B42" s="129" t="s">
        <v>125</v>
      </c>
      <c r="C42" s="130"/>
      <c r="D42" s="34">
        <v>0.01</v>
      </c>
      <c r="E42" s="17">
        <f t="shared" si="1"/>
        <v>9.65</v>
      </c>
      <c r="F42" s="28"/>
      <c r="H42" s="35"/>
      <c r="J42" s="36"/>
    </row>
    <row r="43" spans="1:10" s="9" customFormat="1">
      <c r="A43" s="21" t="s">
        <v>7</v>
      </c>
      <c r="B43" s="131" t="s">
        <v>165</v>
      </c>
      <c r="C43" s="130"/>
      <c r="D43" s="110">
        <v>2E-3</v>
      </c>
      <c r="E43" s="17">
        <f t="shared" si="1"/>
        <v>1.93</v>
      </c>
      <c r="F43" s="28"/>
    </row>
    <row r="44" spans="1:10" s="9" customFormat="1">
      <c r="A44" s="21" t="s">
        <v>20</v>
      </c>
      <c r="B44" s="129" t="s">
        <v>126</v>
      </c>
      <c r="C44" s="130"/>
      <c r="D44" s="34">
        <v>2.5000000000000001E-2</v>
      </c>
      <c r="E44" s="17">
        <f t="shared" si="1"/>
        <v>24.13</v>
      </c>
      <c r="F44" s="37"/>
      <c r="H44" s="38"/>
      <c r="I44" s="39"/>
      <c r="J44" s="38"/>
    </row>
    <row r="45" spans="1:10" s="9" customFormat="1">
      <c r="A45" s="21" t="s">
        <v>21</v>
      </c>
      <c r="B45" s="129" t="s">
        <v>129</v>
      </c>
      <c r="C45" s="130"/>
      <c r="D45" s="34">
        <v>0.08</v>
      </c>
      <c r="E45" s="17">
        <f t="shared" si="1"/>
        <v>77.22</v>
      </c>
      <c r="F45" s="28"/>
    </row>
    <row r="46" spans="1:10" s="9" customFormat="1" ht="39.75" customHeight="1">
      <c r="A46" s="21" t="s">
        <v>22</v>
      </c>
      <c r="B46" s="198" t="s">
        <v>169</v>
      </c>
      <c r="C46" s="199"/>
      <c r="D46" s="110">
        <v>0.03</v>
      </c>
      <c r="E46" s="17">
        <f t="shared" si="1"/>
        <v>28.95</v>
      </c>
      <c r="F46" s="28"/>
    </row>
    <row r="47" spans="1:10" s="9" customFormat="1">
      <c r="A47" s="21" t="s">
        <v>34</v>
      </c>
      <c r="B47" s="200" t="s">
        <v>168</v>
      </c>
      <c r="C47" s="201"/>
      <c r="D47" s="110">
        <v>6.0000000000000001E-3</v>
      </c>
      <c r="E47" s="17">
        <f t="shared" si="1"/>
        <v>5.79</v>
      </c>
      <c r="F47" s="28"/>
    </row>
    <row r="48" spans="1:10" s="9" customFormat="1">
      <c r="A48" s="116" t="s">
        <v>35</v>
      </c>
      <c r="B48" s="117"/>
      <c r="C48" s="118"/>
      <c r="D48" s="40">
        <f>SUM(D40:D47)</f>
        <v>0.3680000000000001</v>
      </c>
      <c r="E48" s="18">
        <f>TRUNC(SUM(E40:E47),2)</f>
        <v>355.19</v>
      </c>
    </row>
    <row r="49" spans="1:12" s="9" customFormat="1">
      <c r="A49" s="126" t="s">
        <v>36</v>
      </c>
      <c r="B49" s="127"/>
      <c r="C49" s="127"/>
      <c r="D49" s="127"/>
      <c r="E49" s="128"/>
    </row>
    <row r="50" spans="1:12" s="9" customFormat="1">
      <c r="A50" s="33" t="s">
        <v>37</v>
      </c>
      <c r="B50" s="119" t="s">
        <v>97</v>
      </c>
      <c r="C50" s="120"/>
      <c r="D50" s="121"/>
      <c r="E50" s="5" t="s">
        <v>13</v>
      </c>
    </row>
    <row r="51" spans="1:12" s="9" customFormat="1">
      <c r="A51" s="21" t="s">
        <v>1</v>
      </c>
      <c r="B51" s="129" t="s">
        <v>38</v>
      </c>
      <c r="C51" s="130"/>
      <c r="D51" s="41">
        <f>1/12</f>
        <v>8.3333333333333329E-2</v>
      </c>
      <c r="E51" s="13">
        <f>TRUNC(+$E$23*D51,2)</f>
        <v>80.430000000000007</v>
      </c>
    </row>
    <row r="52" spans="1:12" s="9" customFormat="1">
      <c r="A52" s="116" t="s">
        <v>39</v>
      </c>
      <c r="B52" s="117"/>
      <c r="C52" s="202"/>
      <c r="D52" s="42">
        <f>SUM(D51:D51)</f>
        <v>8.3333333333333329E-2</v>
      </c>
      <c r="E52" s="18">
        <f>SUM(E51:E51)</f>
        <v>80.430000000000007</v>
      </c>
    </row>
    <row r="53" spans="1:12" s="9" customFormat="1">
      <c r="A53" s="21" t="s">
        <v>5</v>
      </c>
      <c r="B53" s="137" t="s">
        <v>40</v>
      </c>
      <c r="C53" s="138"/>
      <c r="D53" s="41">
        <f>+D48</f>
        <v>0.3680000000000001</v>
      </c>
      <c r="E53" s="13">
        <f>TRUNC(+E52*D53,2)</f>
        <v>29.59</v>
      </c>
    </row>
    <row r="54" spans="1:12" s="9" customFormat="1">
      <c r="A54" s="116" t="s">
        <v>35</v>
      </c>
      <c r="B54" s="117"/>
      <c r="C54" s="202"/>
      <c r="D54" s="43"/>
      <c r="E54" s="18">
        <f>+E53+E52</f>
        <v>110.02000000000001</v>
      </c>
    </row>
    <row r="55" spans="1:12" s="9" customFormat="1">
      <c r="A55" s="126" t="s">
        <v>41</v>
      </c>
      <c r="B55" s="127"/>
      <c r="C55" s="127"/>
      <c r="D55" s="127"/>
      <c r="E55" s="128"/>
    </row>
    <row r="56" spans="1:12" s="9" customFormat="1">
      <c r="A56" s="33" t="s">
        <v>42</v>
      </c>
      <c r="B56" s="119" t="s">
        <v>43</v>
      </c>
      <c r="C56" s="120"/>
      <c r="D56" s="121"/>
      <c r="E56" s="5" t="s">
        <v>13</v>
      </c>
    </row>
    <row r="57" spans="1:12" s="9" customFormat="1">
      <c r="A57" s="21" t="s">
        <v>1</v>
      </c>
      <c r="B57" s="137" t="s">
        <v>44</v>
      </c>
      <c r="C57" s="138"/>
      <c r="D57" s="111">
        <f>((38.05%*1.96%*47.81*61%)*3%)/1</f>
        <v>6.5250007493999991E-3</v>
      </c>
      <c r="E57" s="13">
        <f>TRUNC(+D57*$E$23,2)</f>
        <v>6.29</v>
      </c>
      <c r="L57" s="44"/>
    </row>
    <row r="58" spans="1:12" s="9" customFormat="1">
      <c r="A58" s="21" t="s">
        <v>3</v>
      </c>
      <c r="B58" s="137" t="s">
        <v>45</v>
      </c>
      <c r="C58" s="138"/>
      <c r="D58" s="34">
        <f>D48</f>
        <v>0.3680000000000001</v>
      </c>
      <c r="E58" s="13">
        <f>ROUND(+D58*E57,2)</f>
        <v>2.31</v>
      </c>
      <c r="F58" s="45"/>
      <c r="L58" s="44"/>
    </row>
    <row r="59" spans="1:12" s="9" customFormat="1">
      <c r="A59" s="116" t="s">
        <v>35</v>
      </c>
      <c r="B59" s="117"/>
      <c r="C59" s="117"/>
      <c r="D59" s="43"/>
      <c r="E59" s="18">
        <f>SUM(E57:E58)</f>
        <v>8.6</v>
      </c>
      <c r="F59" s="46"/>
      <c r="L59" s="44"/>
    </row>
    <row r="60" spans="1:12" s="9" customFormat="1">
      <c r="A60" s="126" t="s">
        <v>46</v>
      </c>
      <c r="B60" s="127"/>
      <c r="C60" s="127"/>
      <c r="D60" s="127"/>
      <c r="E60" s="128"/>
      <c r="F60" s="47"/>
      <c r="L60" s="44"/>
    </row>
    <row r="61" spans="1:12" s="9" customFormat="1">
      <c r="A61" s="33" t="s">
        <v>47</v>
      </c>
      <c r="B61" s="119" t="s">
        <v>48</v>
      </c>
      <c r="C61" s="120"/>
      <c r="D61" s="121"/>
      <c r="E61" s="5" t="s">
        <v>13</v>
      </c>
      <c r="L61" s="48"/>
    </row>
    <row r="62" spans="1:12" s="9" customFormat="1">
      <c r="A62" s="49" t="s">
        <v>1</v>
      </c>
      <c r="B62" s="135" t="s">
        <v>49</v>
      </c>
      <c r="C62" s="136"/>
      <c r="D62" s="50">
        <f>((1/12)*0.05)</f>
        <v>4.1666666666666666E-3</v>
      </c>
      <c r="E62" s="87">
        <f>TRUNC(+$E$23*D62,2)</f>
        <v>4.0199999999999996</v>
      </c>
      <c r="F62" s="46"/>
    </row>
    <row r="63" spans="1:12" s="9" customFormat="1">
      <c r="A63" s="49" t="s">
        <v>3</v>
      </c>
      <c r="B63" s="135" t="s">
        <v>98</v>
      </c>
      <c r="C63" s="136"/>
      <c r="D63" s="50">
        <f>+D45</f>
        <v>0.08</v>
      </c>
      <c r="E63" s="87">
        <f>TRUNC(+E62*D63,2)</f>
        <v>0.32</v>
      </c>
    </row>
    <row r="64" spans="1:12" s="9" customFormat="1" ht="15" customHeight="1">
      <c r="A64" s="49" t="s">
        <v>5</v>
      </c>
      <c r="B64" s="135" t="s">
        <v>104</v>
      </c>
      <c r="C64" s="136"/>
      <c r="D64" s="50">
        <f>(0.08*0.5*0.05)</f>
        <v>2E-3</v>
      </c>
      <c r="E64" s="87">
        <f>TRUNC(+$E$23*D64,2)</f>
        <v>1.93</v>
      </c>
    </row>
    <row r="65" spans="1:6" s="9" customFormat="1">
      <c r="A65" s="49" t="s">
        <v>7</v>
      </c>
      <c r="B65" s="188" t="s">
        <v>50</v>
      </c>
      <c r="C65" s="189"/>
      <c r="D65" s="50">
        <f>((7/30)/12)</f>
        <v>1.9444444444444445E-2</v>
      </c>
      <c r="E65" s="87">
        <f>TRUNC(+D65*$E$23,2)</f>
        <v>18.760000000000002</v>
      </c>
    </row>
    <row r="66" spans="1:6" s="9" customFormat="1" ht="15" customHeight="1">
      <c r="A66" s="49" t="s">
        <v>20</v>
      </c>
      <c r="B66" s="135" t="s">
        <v>99</v>
      </c>
      <c r="C66" s="136"/>
      <c r="D66" s="50">
        <f>+D48</f>
        <v>0.3680000000000001</v>
      </c>
      <c r="E66" s="87">
        <f>TRUNC(+E65*D66,2)</f>
        <v>6.9</v>
      </c>
    </row>
    <row r="67" spans="1:6" s="9" customFormat="1" ht="15" customHeight="1">
      <c r="A67" s="49" t="s">
        <v>21</v>
      </c>
      <c r="B67" s="135" t="s">
        <v>105</v>
      </c>
      <c r="C67" s="136"/>
      <c r="D67" s="50">
        <f>(0.08*0.5)</f>
        <v>0.04</v>
      </c>
      <c r="E67" s="87">
        <f>TRUNC(+E23*D67,2)</f>
        <v>38.61</v>
      </c>
    </row>
    <row r="68" spans="1:6" s="9" customFormat="1">
      <c r="A68" s="210" t="s">
        <v>35</v>
      </c>
      <c r="B68" s="211"/>
      <c r="C68" s="211"/>
      <c r="D68" s="51"/>
      <c r="E68" s="88">
        <f>SUM(E62:E67)</f>
        <v>70.539999999999992</v>
      </c>
    </row>
    <row r="69" spans="1:6" s="9" customFormat="1">
      <c r="A69" s="126" t="s">
        <v>51</v>
      </c>
      <c r="B69" s="127"/>
      <c r="C69" s="127"/>
      <c r="D69" s="127"/>
      <c r="E69" s="128"/>
    </row>
    <row r="70" spans="1:6" s="9" customFormat="1">
      <c r="A70" s="33" t="s">
        <v>52</v>
      </c>
      <c r="B70" s="207" t="s">
        <v>53</v>
      </c>
      <c r="C70" s="208"/>
      <c r="D70" s="209"/>
      <c r="E70" s="5" t="s">
        <v>13</v>
      </c>
    </row>
    <row r="71" spans="1:6" s="9" customFormat="1" ht="16.5" customHeight="1">
      <c r="A71" s="21" t="s">
        <v>1</v>
      </c>
      <c r="B71" s="137" t="s">
        <v>54</v>
      </c>
      <c r="C71" s="138"/>
      <c r="D71" s="34">
        <f>(((1+1/3)/12))</f>
        <v>0.1111111111111111</v>
      </c>
      <c r="E71" s="13">
        <f t="shared" ref="E71:E76" si="2">TRUNC(+D71*$E$23,2)</f>
        <v>107.25</v>
      </c>
      <c r="F71" s="36"/>
    </row>
    <row r="72" spans="1:6" s="9" customFormat="1">
      <c r="A72" s="21" t="s">
        <v>3</v>
      </c>
      <c r="B72" s="137" t="s">
        <v>55</v>
      </c>
      <c r="C72" s="138"/>
      <c r="D72" s="41">
        <v>1.66E-2</v>
      </c>
      <c r="E72" s="13">
        <f t="shared" si="2"/>
        <v>16.02</v>
      </c>
    </row>
    <row r="73" spans="1:6" s="9" customFormat="1">
      <c r="A73" s="21" t="s">
        <v>5</v>
      </c>
      <c r="B73" s="137" t="s">
        <v>56</v>
      </c>
      <c r="C73" s="138"/>
      <c r="D73" s="41">
        <v>2.0000000000000001E-4</v>
      </c>
      <c r="E73" s="13">
        <f t="shared" si="2"/>
        <v>0.19</v>
      </c>
      <c r="F73" s="52"/>
    </row>
    <row r="74" spans="1:6" s="9" customFormat="1">
      <c r="A74" s="21" t="s">
        <v>7</v>
      </c>
      <c r="B74" s="139" t="s">
        <v>57</v>
      </c>
      <c r="C74" s="140"/>
      <c r="D74" s="34">
        <v>2.8E-3</v>
      </c>
      <c r="E74" s="13">
        <f t="shared" si="2"/>
        <v>2.7</v>
      </c>
    </row>
    <row r="75" spans="1:6" s="9" customFormat="1">
      <c r="A75" s="21" t="s">
        <v>20</v>
      </c>
      <c r="B75" s="137" t="s">
        <v>58</v>
      </c>
      <c r="C75" s="138"/>
      <c r="D75" s="112">
        <v>2.9999999999999997E-4</v>
      </c>
      <c r="E75" s="13">
        <f t="shared" si="2"/>
        <v>0.28000000000000003</v>
      </c>
    </row>
    <row r="76" spans="1:6" s="9" customFormat="1">
      <c r="A76" s="21" t="s">
        <v>21</v>
      </c>
      <c r="B76" s="137" t="s">
        <v>23</v>
      </c>
      <c r="C76" s="138"/>
      <c r="D76" s="34">
        <v>0</v>
      </c>
      <c r="E76" s="13">
        <f t="shared" si="2"/>
        <v>0</v>
      </c>
      <c r="F76" s="52"/>
    </row>
    <row r="77" spans="1:6" s="9" customFormat="1">
      <c r="A77" s="116" t="s">
        <v>39</v>
      </c>
      <c r="B77" s="117"/>
      <c r="C77" s="118"/>
      <c r="D77" s="40"/>
      <c r="E77" s="18">
        <f>SUM(E71:E76)</f>
        <v>126.44</v>
      </c>
    </row>
    <row r="78" spans="1:6" s="9" customFormat="1" ht="30">
      <c r="A78" s="21" t="s">
        <v>22</v>
      </c>
      <c r="B78" s="16" t="s">
        <v>59</v>
      </c>
      <c r="C78" s="53"/>
      <c r="D78" s="41">
        <f>+D48</f>
        <v>0.3680000000000001</v>
      </c>
      <c r="E78" s="13">
        <f>TRUNC(+E77*D78,2)</f>
        <v>46.52</v>
      </c>
      <c r="F78" s="52"/>
    </row>
    <row r="79" spans="1:6" s="9" customFormat="1">
      <c r="A79" s="116" t="s">
        <v>35</v>
      </c>
      <c r="B79" s="117"/>
      <c r="C79" s="202"/>
      <c r="D79" s="54"/>
      <c r="E79" s="18">
        <f>SUM(E77:E78)</f>
        <v>172.96</v>
      </c>
    </row>
    <row r="80" spans="1:6" s="9" customFormat="1">
      <c r="A80" s="183" t="s">
        <v>60</v>
      </c>
      <c r="B80" s="184"/>
      <c r="C80" s="184"/>
      <c r="D80" s="184"/>
      <c r="E80" s="185"/>
    </row>
    <row r="81" spans="1:5" s="9" customFormat="1">
      <c r="A81" s="10">
        <v>4</v>
      </c>
      <c r="B81" s="119" t="s">
        <v>61</v>
      </c>
      <c r="C81" s="120"/>
      <c r="D81" s="121"/>
      <c r="E81" s="5" t="s">
        <v>13</v>
      </c>
    </row>
    <row r="82" spans="1:5" s="9" customFormat="1" ht="30" customHeight="1">
      <c r="A82" s="21" t="s">
        <v>32</v>
      </c>
      <c r="B82" s="132" t="s">
        <v>62</v>
      </c>
      <c r="C82" s="133"/>
      <c r="D82" s="134"/>
      <c r="E82" s="13">
        <f>+E48</f>
        <v>355.19</v>
      </c>
    </row>
    <row r="83" spans="1:5" s="9" customFormat="1">
      <c r="A83" s="21" t="s">
        <v>37</v>
      </c>
      <c r="B83" s="132" t="s">
        <v>63</v>
      </c>
      <c r="C83" s="133"/>
      <c r="D83" s="134"/>
      <c r="E83" s="13">
        <f>+E54</f>
        <v>110.02000000000001</v>
      </c>
    </row>
    <row r="84" spans="1:5" s="9" customFormat="1">
      <c r="A84" s="21" t="s">
        <v>42</v>
      </c>
      <c r="B84" s="132" t="s">
        <v>44</v>
      </c>
      <c r="C84" s="133"/>
      <c r="D84" s="134"/>
      <c r="E84" s="13">
        <f>+E59</f>
        <v>8.6</v>
      </c>
    </row>
    <row r="85" spans="1:5" s="9" customFormat="1">
      <c r="A85" s="21" t="s">
        <v>47</v>
      </c>
      <c r="B85" s="132" t="s">
        <v>64</v>
      </c>
      <c r="C85" s="133"/>
      <c r="D85" s="134"/>
      <c r="E85" s="13">
        <f>E68</f>
        <v>70.539999999999992</v>
      </c>
    </row>
    <row r="86" spans="1:5" s="9" customFormat="1">
      <c r="A86" s="21" t="s">
        <v>52</v>
      </c>
      <c r="B86" s="132" t="s">
        <v>65</v>
      </c>
      <c r="C86" s="133"/>
      <c r="D86" s="134"/>
      <c r="E86" s="13">
        <f>+E79</f>
        <v>172.96</v>
      </c>
    </row>
    <row r="87" spans="1:5" s="9" customFormat="1">
      <c r="A87" s="21" t="s">
        <v>66</v>
      </c>
      <c r="B87" s="132" t="s">
        <v>23</v>
      </c>
      <c r="C87" s="133"/>
      <c r="D87" s="134"/>
      <c r="E87" s="13">
        <f t="shared" ref="E87" si="3">+$E$23*D87</f>
        <v>0</v>
      </c>
    </row>
    <row r="88" spans="1:5" s="19" customFormat="1" ht="15" customHeight="1">
      <c r="A88" s="186" t="s">
        <v>67</v>
      </c>
      <c r="B88" s="187"/>
      <c r="C88" s="187"/>
      <c r="D88" s="190"/>
      <c r="E88" s="18">
        <f>SUM(E82:E87)</f>
        <v>717.31000000000006</v>
      </c>
    </row>
    <row r="89" spans="1:5" s="19" customFormat="1" ht="29.25" customHeight="1">
      <c r="A89" s="186" t="s">
        <v>68</v>
      </c>
      <c r="B89" s="187"/>
      <c r="C89" s="187"/>
      <c r="D89" s="55"/>
      <c r="E89" s="18">
        <f>+E23+E31+E36+E88</f>
        <v>2002.87</v>
      </c>
    </row>
    <row r="90" spans="1:5" s="9" customFormat="1">
      <c r="A90" s="126" t="s">
        <v>69</v>
      </c>
      <c r="B90" s="127"/>
      <c r="C90" s="127" t="s">
        <v>70</v>
      </c>
      <c r="D90" s="128" t="s">
        <v>71</v>
      </c>
      <c r="E90" s="8"/>
    </row>
    <row r="91" spans="1:5" s="9" customFormat="1">
      <c r="A91" s="10">
        <v>5</v>
      </c>
      <c r="B91" s="119" t="s">
        <v>72</v>
      </c>
      <c r="C91" s="120"/>
      <c r="D91" s="121"/>
      <c r="E91" s="56" t="s">
        <v>13</v>
      </c>
    </row>
    <row r="92" spans="1:5" s="9" customFormat="1">
      <c r="A92" s="108" t="s">
        <v>1</v>
      </c>
      <c r="B92" s="57" t="s">
        <v>73</v>
      </c>
      <c r="C92" s="194">
        <v>0</v>
      </c>
      <c r="D92" s="195"/>
      <c r="E92" s="13">
        <f>+E89*C92</f>
        <v>0</v>
      </c>
    </row>
    <row r="93" spans="1:5" s="9" customFormat="1">
      <c r="A93" s="108" t="s">
        <v>3</v>
      </c>
      <c r="B93" s="57" t="s">
        <v>74</v>
      </c>
      <c r="C93" s="194">
        <v>0</v>
      </c>
      <c r="D93" s="195"/>
      <c r="E93" s="13">
        <f>C93*(+E89+E92)</f>
        <v>0</v>
      </c>
    </row>
    <row r="94" spans="1:5" s="9" customFormat="1" ht="27" customHeight="1">
      <c r="A94" s="196" t="s">
        <v>5</v>
      </c>
      <c r="B94" s="215" t="s">
        <v>94</v>
      </c>
      <c r="C94" s="216"/>
      <c r="D94" s="25">
        <f>+(100-8.65)/100</f>
        <v>0.91349999999999998</v>
      </c>
      <c r="E94" s="17">
        <f>+E89+E92+E93</f>
        <v>2002.87</v>
      </c>
    </row>
    <row r="95" spans="1:5" s="9" customFormat="1">
      <c r="A95" s="196"/>
      <c r="B95" s="109" t="s">
        <v>75</v>
      </c>
      <c r="E95" s="89">
        <f>+E94/D94</f>
        <v>2192.5232621784344</v>
      </c>
    </row>
    <row r="96" spans="1:5" s="9" customFormat="1">
      <c r="A96" s="196"/>
      <c r="B96" s="58" t="s">
        <v>76</v>
      </c>
      <c r="C96" s="59"/>
      <c r="D96" s="60"/>
      <c r="E96" s="13"/>
    </row>
    <row r="97" spans="1:6" s="9" customFormat="1">
      <c r="A97" s="196"/>
      <c r="B97" s="61" t="s">
        <v>101</v>
      </c>
      <c r="C97" s="62"/>
      <c r="D97" s="78">
        <v>6.4999999999999997E-3</v>
      </c>
      <c r="E97" s="13">
        <f>+E95*D97</f>
        <v>14.251401204159823</v>
      </c>
      <c r="F97" s="52"/>
    </row>
    <row r="98" spans="1:6" s="9" customFormat="1">
      <c r="A98" s="196"/>
      <c r="B98" s="61" t="s">
        <v>102</v>
      </c>
      <c r="C98" s="62"/>
      <c r="D98" s="78">
        <v>0.03</v>
      </c>
      <c r="E98" s="13">
        <f>+E95*D98</f>
        <v>65.775697865353024</v>
      </c>
    </row>
    <row r="99" spans="1:6" s="9" customFormat="1">
      <c r="A99" s="196"/>
      <c r="B99" s="63" t="s">
        <v>77</v>
      </c>
      <c r="C99" s="64"/>
      <c r="D99" s="65"/>
      <c r="E99" s="13"/>
    </row>
    <row r="100" spans="1:6" s="9" customFormat="1">
      <c r="A100" s="196"/>
      <c r="B100" s="63" t="s">
        <v>78</v>
      </c>
      <c r="C100" s="64"/>
      <c r="D100" s="66"/>
      <c r="E100" s="13"/>
    </row>
    <row r="101" spans="1:6" s="9" customFormat="1" ht="15.75" thickBot="1">
      <c r="A101" s="197"/>
      <c r="B101" s="67" t="s">
        <v>103</v>
      </c>
      <c r="C101" s="68"/>
      <c r="D101" s="79">
        <v>0.05</v>
      </c>
      <c r="E101" s="90">
        <f>+E95*D101</f>
        <v>109.62616310892173</v>
      </c>
    </row>
    <row r="102" spans="1:6" s="9" customFormat="1" ht="15.75" thickBot="1">
      <c r="A102" s="69"/>
      <c r="B102" s="70" t="s">
        <v>79</v>
      </c>
      <c r="C102" s="70"/>
      <c r="D102" s="71">
        <f>SUM(D97:D101)</f>
        <v>8.6499999999999994E-2</v>
      </c>
      <c r="E102" s="91">
        <f>SUM(E97:E101)</f>
        <v>189.65326217843457</v>
      </c>
    </row>
    <row r="103" spans="1:6" s="19" customFormat="1">
      <c r="A103" s="191" t="s">
        <v>80</v>
      </c>
      <c r="B103" s="192"/>
      <c r="C103" s="192"/>
      <c r="D103" s="193"/>
      <c r="E103" s="92">
        <f>+E92+E93+E102</f>
        <v>189.65326217843457</v>
      </c>
    </row>
    <row r="104" spans="1:6" s="9" customFormat="1">
      <c r="A104" s="186" t="s">
        <v>81</v>
      </c>
      <c r="B104" s="187"/>
      <c r="C104" s="187"/>
      <c r="D104" s="190"/>
      <c r="E104" s="72" t="s">
        <v>13</v>
      </c>
    </row>
    <row r="105" spans="1:6" s="9" customFormat="1">
      <c r="A105" s="108" t="s">
        <v>1</v>
      </c>
      <c r="B105" s="212" t="s">
        <v>82</v>
      </c>
      <c r="C105" s="213"/>
      <c r="D105" s="214"/>
      <c r="E105" s="13">
        <f>+E23</f>
        <v>965.25</v>
      </c>
    </row>
    <row r="106" spans="1:6" s="9" customFormat="1">
      <c r="A106" s="108" t="s">
        <v>3</v>
      </c>
      <c r="B106" s="212" t="s">
        <v>83</v>
      </c>
      <c r="C106" s="213"/>
      <c r="D106" s="214"/>
      <c r="E106" s="13">
        <f>+E31</f>
        <v>320.31</v>
      </c>
    </row>
    <row r="107" spans="1:6" s="9" customFormat="1">
      <c r="A107" s="108" t="s">
        <v>5</v>
      </c>
      <c r="B107" s="212" t="s">
        <v>84</v>
      </c>
      <c r="C107" s="213"/>
      <c r="D107" s="214"/>
      <c r="E107" s="13">
        <f>+E36</f>
        <v>0</v>
      </c>
    </row>
    <row r="108" spans="1:6" s="9" customFormat="1">
      <c r="A108" s="108" t="s">
        <v>7</v>
      </c>
      <c r="B108" s="212" t="s">
        <v>85</v>
      </c>
      <c r="C108" s="213"/>
      <c r="D108" s="214"/>
      <c r="E108" s="13">
        <f>+E88</f>
        <v>717.31000000000006</v>
      </c>
    </row>
    <row r="109" spans="1:6" s="9" customFormat="1">
      <c r="A109" s="116" t="s">
        <v>86</v>
      </c>
      <c r="B109" s="117"/>
      <c r="C109" s="202"/>
      <c r="D109" s="73"/>
      <c r="E109" s="18">
        <f>SUM(E105:E108)</f>
        <v>2002.87</v>
      </c>
    </row>
    <row r="110" spans="1:6" s="9" customFormat="1">
      <c r="A110" s="108" t="s">
        <v>20</v>
      </c>
      <c r="B110" s="212" t="s">
        <v>87</v>
      </c>
      <c r="C110" s="213"/>
      <c r="D110" s="214"/>
      <c r="E110" s="13">
        <f>+E103</f>
        <v>189.65326217843457</v>
      </c>
    </row>
    <row r="111" spans="1:6" s="19" customFormat="1" ht="15.75">
      <c r="A111" s="204" t="s">
        <v>88</v>
      </c>
      <c r="B111" s="205"/>
      <c r="C111" s="205"/>
      <c r="D111" s="206"/>
      <c r="E111" s="93">
        <f>+E109+E110</f>
        <v>2192.5232621784344</v>
      </c>
    </row>
  </sheetData>
  <sheetProtection password="CAC1" sheet="1" objects="1" scenarios="1"/>
  <mergeCells count="97">
    <mergeCell ref="C5:E5"/>
    <mergeCell ref="A11:B11"/>
    <mergeCell ref="C11:E11"/>
    <mergeCell ref="A12:E12"/>
    <mergeCell ref="A2:C2"/>
    <mergeCell ref="D2:E2"/>
    <mergeCell ref="A3:C3"/>
    <mergeCell ref="D3:E3"/>
    <mergeCell ref="A4:E4"/>
    <mergeCell ref="A13:E13"/>
    <mergeCell ref="A14:D14"/>
    <mergeCell ref="C15:E15"/>
    <mergeCell ref="C6:E6"/>
    <mergeCell ref="C7:E7"/>
    <mergeCell ref="C8:E8"/>
    <mergeCell ref="A9:E9"/>
    <mergeCell ref="A10:B10"/>
    <mergeCell ref="C10:E10"/>
    <mergeCell ref="C22:D22"/>
    <mergeCell ref="C16:E16"/>
    <mergeCell ref="C17:E17"/>
    <mergeCell ref="C18:E18"/>
    <mergeCell ref="A19:D19"/>
    <mergeCell ref="B20:D20"/>
    <mergeCell ref="C21:D21"/>
    <mergeCell ref="B43:C43"/>
    <mergeCell ref="A23:D23"/>
    <mergeCell ref="A24:D24"/>
    <mergeCell ref="A31:D31"/>
    <mergeCell ref="A32:E32"/>
    <mergeCell ref="A36:D36"/>
    <mergeCell ref="A37:E37"/>
    <mergeCell ref="A38:E38"/>
    <mergeCell ref="B39:C39"/>
    <mergeCell ref="B40:C40"/>
    <mergeCell ref="B41:C41"/>
    <mergeCell ref="B42:C42"/>
    <mergeCell ref="A55:E55"/>
    <mergeCell ref="B44:C44"/>
    <mergeCell ref="B45:C45"/>
    <mergeCell ref="B46:C46"/>
    <mergeCell ref="B47:C47"/>
    <mergeCell ref="A48:C48"/>
    <mergeCell ref="A49:E49"/>
    <mergeCell ref="B50:D50"/>
    <mergeCell ref="B51:C51"/>
    <mergeCell ref="A52:C52"/>
    <mergeCell ref="B53:C53"/>
    <mergeCell ref="A54:C54"/>
    <mergeCell ref="B67:C67"/>
    <mergeCell ref="B56:D56"/>
    <mergeCell ref="B57:C57"/>
    <mergeCell ref="B58:C58"/>
    <mergeCell ref="A59:C59"/>
    <mergeCell ref="A60:E60"/>
    <mergeCell ref="B61:D61"/>
    <mergeCell ref="B62:C62"/>
    <mergeCell ref="B63:C63"/>
    <mergeCell ref="B64:C64"/>
    <mergeCell ref="B65:C65"/>
    <mergeCell ref="B66:C66"/>
    <mergeCell ref="A80:E80"/>
    <mergeCell ref="A68:C68"/>
    <mergeCell ref="A69:E69"/>
    <mergeCell ref="B70:D70"/>
    <mergeCell ref="B71:C71"/>
    <mergeCell ref="B72:C72"/>
    <mergeCell ref="B73:C73"/>
    <mergeCell ref="B74:C74"/>
    <mergeCell ref="B75:C75"/>
    <mergeCell ref="B76:C76"/>
    <mergeCell ref="A77:C77"/>
    <mergeCell ref="A79:C79"/>
    <mergeCell ref="C92:D92"/>
    <mergeCell ref="B81:D81"/>
    <mergeCell ref="B82:D82"/>
    <mergeCell ref="B83:D83"/>
    <mergeCell ref="B84:D84"/>
    <mergeCell ref="B85:D85"/>
    <mergeCell ref="B86:D86"/>
    <mergeCell ref="B87:D87"/>
    <mergeCell ref="A88:D88"/>
    <mergeCell ref="A89:C89"/>
    <mergeCell ref="A90:D90"/>
    <mergeCell ref="B91:D91"/>
    <mergeCell ref="A111:D111"/>
    <mergeCell ref="C93:D93"/>
    <mergeCell ref="A94:A101"/>
    <mergeCell ref="B94:C94"/>
    <mergeCell ref="A103:D103"/>
    <mergeCell ref="A104:D104"/>
    <mergeCell ref="B105:D105"/>
    <mergeCell ref="B106:D106"/>
    <mergeCell ref="B107:D107"/>
    <mergeCell ref="B108:D108"/>
    <mergeCell ref="A109:C109"/>
    <mergeCell ref="B110:D110"/>
  </mergeCells>
  <printOptions horizontalCentered="1"/>
  <pageMargins left="3.937007874015748E-2" right="3.937007874015748E-2" top="0.15748031496062992" bottom="0.15748031496062992" header="0.31496062992125984" footer="0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2"/>
  <sheetViews>
    <sheetView showGridLines="0" zoomScale="90" zoomScaleNormal="90" zoomScaleSheetLayoutView="145" zoomScalePageLayoutView="55" workbookViewId="0">
      <pane xSplit="1" topLeftCell="B1" activePane="topRight" state="frozen"/>
      <selection activeCell="A10" sqref="A10"/>
      <selection pane="topRight" activeCell="D47" sqref="D47"/>
    </sheetView>
  </sheetViews>
  <sheetFormatPr defaultRowHeight="15"/>
  <cols>
    <col min="1" max="1" width="9.140625" style="74" customWidth="1"/>
    <col min="2" max="2" width="45.7109375" style="75" bestFit="1" customWidth="1"/>
    <col min="3" max="3" width="24.28515625" style="75" customWidth="1"/>
    <col min="4" max="4" width="14.5703125" style="76" customWidth="1"/>
    <col min="5" max="5" width="16.28515625" style="77" customWidth="1"/>
    <col min="6" max="6" width="31.85546875" style="1" customWidth="1"/>
    <col min="7" max="7" width="5.5703125" style="1" customWidth="1"/>
    <col min="8" max="8" width="11.140625" style="1" hidden="1" customWidth="1"/>
    <col min="9" max="9" width="22" style="1" customWidth="1"/>
    <col min="10" max="16384" width="9.140625" style="1"/>
  </cols>
  <sheetData>
    <row r="2" spans="1:5" ht="15" customHeight="1">
      <c r="A2" s="141" t="s">
        <v>90</v>
      </c>
      <c r="B2" s="142"/>
      <c r="C2" s="143"/>
      <c r="D2" s="144"/>
      <c r="E2" s="145"/>
    </row>
    <row r="3" spans="1:5" ht="15" customHeight="1">
      <c r="A3" s="141" t="s">
        <v>91</v>
      </c>
      <c r="B3" s="142"/>
      <c r="C3" s="143"/>
      <c r="D3" s="217"/>
      <c r="E3" s="145"/>
    </row>
    <row r="4" spans="1:5" s="2" customFormat="1">
      <c r="A4" s="150" t="s">
        <v>0</v>
      </c>
      <c r="B4" s="151"/>
      <c r="C4" s="151"/>
      <c r="D4" s="151"/>
      <c r="E4" s="152"/>
    </row>
    <row r="5" spans="1:5">
      <c r="A5" s="3" t="s">
        <v>1</v>
      </c>
      <c r="B5" s="4" t="s">
        <v>2</v>
      </c>
      <c r="C5" s="153">
        <v>42583</v>
      </c>
      <c r="D5" s="154"/>
      <c r="E5" s="155"/>
    </row>
    <row r="6" spans="1:5">
      <c r="A6" s="3" t="s">
        <v>3</v>
      </c>
      <c r="B6" s="4" t="s">
        <v>4</v>
      </c>
      <c r="C6" s="156" t="s">
        <v>142</v>
      </c>
      <c r="D6" s="157"/>
      <c r="E6" s="158"/>
    </row>
    <row r="7" spans="1:5" ht="30">
      <c r="A7" s="3" t="s">
        <v>5</v>
      </c>
      <c r="B7" s="4" t="s">
        <v>6</v>
      </c>
      <c r="C7" s="153" t="str">
        <f>'Recife SEDE'!C7:E7</f>
        <v>2016/2016 - Registro no MTE: PE000143/2016</v>
      </c>
      <c r="D7" s="154"/>
      <c r="E7" s="155"/>
    </row>
    <row r="8" spans="1:5">
      <c r="A8" s="3" t="s">
        <v>7</v>
      </c>
      <c r="B8" s="4" t="s">
        <v>92</v>
      </c>
      <c r="C8" s="156" t="s">
        <v>96</v>
      </c>
      <c r="D8" s="157"/>
      <c r="E8" s="158"/>
    </row>
    <row r="9" spans="1:5" s="2" customFormat="1">
      <c r="A9" s="159" t="s">
        <v>8</v>
      </c>
      <c r="B9" s="160"/>
      <c r="C9" s="160"/>
      <c r="D9" s="160"/>
      <c r="E9" s="161"/>
    </row>
    <row r="10" spans="1:5" ht="15" customHeight="1">
      <c r="A10" s="162" t="s">
        <v>9</v>
      </c>
      <c r="B10" s="163"/>
      <c r="C10" s="147" t="s">
        <v>109</v>
      </c>
      <c r="D10" s="148"/>
      <c r="E10" s="149"/>
    </row>
    <row r="11" spans="1:5">
      <c r="A11" s="154" t="s">
        <v>140</v>
      </c>
      <c r="B11" s="155"/>
      <c r="C11" s="164">
        <v>1</v>
      </c>
      <c r="D11" s="164"/>
      <c r="E11" s="164"/>
    </row>
    <row r="12" spans="1:5" s="2" customFormat="1">
      <c r="A12" s="165" t="s">
        <v>10</v>
      </c>
      <c r="B12" s="166"/>
      <c r="C12" s="166"/>
      <c r="D12" s="166"/>
      <c r="E12" s="167"/>
    </row>
    <row r="13" spans="1:5" s="2" customFormat="1">
      <c r="A13" s="168" t="s">
        <v>11</v>
      </c>
      <c r="B13" s="169"/>
      <c r="C13" s="169"/>
      <c r="D13" s="169"/>
      <c r="E13" s="170"/>
    </row>
    <row r="14" spans="1:5" ht="15" customHeight="1">
      <c r="A14" s="174" t="s">
        <v>12</v>
      </c>
      <c r="B14" s="175"/>
      <c r="C14" s="175"/>
      <c r="D14" s="176"/>
      <c r="E14" s="5" t="s">
        <v>13</v>
      </c>
    </row>
    <row r="15" spans="1:5" ht="30">
      <c r="A15" s="3">
        <v>1</v>
      </c>
      <c r="B15" s="6" t="s">
        <v>93</v>
      </c>
      <c r="C15" s="177" t="s">
        <v>140</v>
      </c>
      <c r="D15" s="178"/>
      <c r="E15" s="179"/>
    </row>
    <row r="16" spans="1:5">
      <c r="A16" s="3">
        <v>2</v>
      </c>
      <c r="B16" s="6" t="s">
        <v>14</v>
      </c>
      <c r="C16" s="171">
        <v>965.25</v>
      </c>
      <c r="D16" s="172"/>
      <c r="E16" s="173"/>
    </row>
    <row r="17" spans="1:9" ht="30">
      <c r="A17" s="3">
        <v>3</v>
      </c>
      <c r="B17" s="6" t="s">
        <v>15</v>
      </c>
      <c r="C17" s="177" t="s">
        <v>140</v>
      </c>
      <c r="D17" s="178"/>
      <c r="E17" s="179"/>
    </row>
    <row r="18" spans="1:9">
      <c r="A18" s="3">
        <v>4</v>
      </c>
      <c r="B18" s="7" t="s">
        <v>16</v>
      </c>
      <c r="C18" s="180" t="s">
        <v>108</v>
      </c>
      <c r="D18" s="181"/>
      <c r="E18" s="182"/>
    </row>
    <row r="19" spans="1:9" s="9" customFormat="1">
      <c r="A19" s="183" t="s">
        <v>17</v>
      </c>
      <c r="B19" s="184"/>
      <c r="C19" s="184"/>
      <c r="D19" s="185"/>
      <c r="E19" s="8"/>
    </row>
    <row r="20" spans="1:9" s="9" customFormat="1">
      <c r="A20" s="10">
        <v>1</v>
      </c>
      <c r="B20" s="119" t="s">
        <v>18</v>
      </c>
      <c r="C20" s="120"/>
      <c r="D20" s="121"/>
      <c r="E20" s="5" t="s">
        <v>13</v>
      </c>
    </row>
    <row r="21" spans="1:9">
      <c r="A21" s="11" t="s">
        <v>1</v>
      </c>
      <c r="B21" s="12" t="s">
        <v>19</v>
      </c>
      <c r="C21" s="122"/>
      <c r="D21" s="123"/>
      <c r="E21" s="13">
        <f>+C16</f>
        <v>965.25</v>
      </c>
      <c r="H21" s="1">
        <f>+$E$21*2</f>
        <v>1930.5</v>
      </c>
    </row>
    <row r="22" spans="1:9">
      <c r="A22" s="11" t="s">
        <v>3</v>
      </c>
      <c r="B22" s="16" t="s">
        <v>23</v>
      </c>
      <c r="C22" s="124"/>
      <c r="D22" s="125"/>
      <c r="E22" s="14">
        <f>C22*$C$16</f>
        <v>0</v>
      </c>
      <c r="F22" s="15"/>
      <c r="H22" s="1">
        <f t="shared" ref="H22" si="0">+$E$21*2</f>
        <v>1930.5</v>
      </c>
    </row>
    <row r="23" spans="1:9" s="19" customFormat="1" ht="15" customHeight="1">
      <c r="A23" s="113" t="s">
        <v>24</v>
      </c>
      <c r="B23" s="114"/>
      <c r="C23" s="114"/>
      <c r="D23" s="115"/>
      <c r="E23" s="18">
        <f>TRUNC(SUM(E21:E22),2)</f>
        <v>965.25</v>
      </c>
      <c r="F23" s="15"/>
    </row>
    <row r="24" spans="1:9" s="9" customFormat="1">
      <c r="A24" s="126" t="s">
        <v>95</v>
      </c>
      <c r="B24" s="127"/>
      <c r="C24" s="127"/>
      <c r="D24" s="128"/>
      <c r="E24" s="8"/>
      <c r="F24" s="15"/>
    </row>
    <row r="25" spans="1:9">
      <c r="A25" s="10">
        <v>2</v>
      </c>
      <c r="B25" s="20" t="s">
        <v>25</v>
      </c>
      <c r="C25" s="20" t="s">
        <v>110</v>
      </c>
      <c r="D25" s="20" t="s">
        <v>111</v>
      </c>
      <c r="E25" s="5" t="s">
        <v>13</v>
      </c>
      <c r="F25" s="15"/>
    </row>
    <row r="26" spans="1:9">
      <c r="A26" s="21" t="s">
        <v>1</v>
      </c>
      <c r="B26" s="16" t="s">
        <v>100</v>
      </c>
      <c r="C26" s="3">
        <v>44</v>
      </c>
      <c r="D26" s="100">
        <v>2.8</v>
      </c>
      <c r="E26" s="22">
        <f>+TRUNC((C26*D26)-(C16*0.06),2)</f>
        <v>65.28</v>
      </c>
      <c r="F26" s="15"/>
      <c r="I26" s="15"/>
    </row>
    <row r="27" spans="1:9">
      <c r="A27" s="21" t="s">
        <v>3</v>
      </c>
      <c r="B27" s="16" t="s">
        <v>133</v>
      </c>
      <c r="C27" s="3">
        <v>22</v>
      </c>
      <c r="D27" s="85">
        <v>6.66</v>
      </c>
      <c r="E27" s="22">
        <f>TRUNC((C27*D27)*0.8,2)</f>
        <v>117.21</v>
      </c>
      <c r="F27" s="23"/>
      <c r="I27" s="15"/>
    </row>
    <row r="28" spans="1:9">
      <c r="A28" s="21" t="s">
        <v>5</v>
      </c>
      <c r="B28" s="16" t="s">
        <v>132</v>
      </c>
      <c r="C28" s="3">
        <v>1</v>
      </c>
      <c r="D28" s="85">
        <v>100</v>
      </c>
      <c r="E28" s="22">
        <f>TRUNC((C28*D28),2)</f>
        <v>100</v>
      </c>
      <c r="F28" s="15"/>
      <c r="I28" s="15"/>
    </row>
    <row r="29" spans="1:9">
      <c r="A29" s="21" t="s">
        <v>7</v>
      </c>
      <c r="B29" s="16" t="s">
        <v>134</v>
      </c>
      <c r="C29" s="3">
        <v>1</v>
      </c>
      <c r="D29" s="85">
        <v>37.82</v>
      </c>
      <c r="E29" s="22">
        <f>TRUNC((C29*D29),2)</f>
        <v>37.82</v>
      </c>
      <c r="I29" s="15"/>
    </row>
    <row r="30" spans="1:9">
      <c r="A30" s="21" t="s">
        <v>20</v>
      </c>
      <c r="B30" s="16" t="s">
        <v>106</v>
      </c>
      <c r="C30" s="3">
        <v>0</v>
      </c>
      <c r="D30" s="85">
        <v>0</v>
      </c>
      <c r="E30" s="22">
        <f>TRUNC((C30*D30),2)</f>
        <v>0</v>
      </c>
      <c r="I30" s="15"/>
    </row>
    <row r="31" spans="1:9" s="19" customFormat="1" ht="15" customHeight="1">
      <c r="A31" s="113" t="s">
        <v>26</v>
      </c>
      <c r="B31" s="114"/>
      <c r="C31" s="114"/>
      <c r="D31" s="115"/>
      <c r="E31" s="18">
        <f>SUM(E26:E30)</f>
        <v>320.31</v>
      </c>
    </row>
    <row r="32" spans="1:9" s="9" customFormat="1">
      <c r="A32" s="126" t="s">
        <v>27</v>
      </c>
      <c r="B32" s="127"/>
      <c r="C32" s="127"/>
      <c r="D32" s="127"/>
      <c r="E32" s="128"/>
    </row>
    <row r="33" spans="1:10" s="9" customFormat="1">
      <c r="A33" s="10">
        <v>3</v>
      </c>
      <c r="B33" s="20" t="s">
        <v>28</v>
      </c>
      <c r="C33" s="20" t="s">
        <v>110</v>
      </c>
      <c r="D33" s="20" t="s">
        <v>111</v>
      </c>
      <c r="E33" s="5" t="s">
        <v>13</v>
      </c>
    </row>
    <row r="34" spans="1:10" s="9" customFormat="1">
      <c r="A34" s="21" t="s">
        <v>1</v>
      </c>
      <c r="B34" s="16" t="s">
        <v>167</v>
      </c>
      <c r="C34" s="24">
        <v>1</v>
      </c>
      <c r="D34" s="13">
        <f>Uniforme!G12</f>
        <v>0</v>
      </c>
      <c r="E34" s="13">
        <f>TRUNC((C34*D34),2)</f>
        <v>0</v>
      </c>
      <c r="F34" s="26"/>
    </row>
    <row r="35" spans="1:10" s="9" customFormat="1">
      <c r="A35" s="21" t="s">
        <v>3</v>
      </c>
      <c r="B35" s="16" t="s">
        <v>107</v>
      </c>
      <c r="C35" s="27">
        <v>0</v>
      </c>
      <c r="D35" s="86">
        <v>0</v>
      </c>
      <c r="E35" s="13">
        <f>TRUNC((C35*D35),2)</f>
        <v>0</v>
      </c>
    </row>
    <row r="36" spans="1:10" s="19" customFormat="1" ht="15" customHeight="1">
      <c r="A36" s="113" t="s">
        <v>29</v>
      </c>
      <c r="B36" s="114"/>
      <c r="C36" s="114"/>
      <c r="D36" s="115"/>
      <c r="E36" s="18">
        <f>SUM(E34:E35)</f>
        <v>0</v>
      </c>
      <c r="F36" s="28"/>
      <c r="H36" s="32"/>
      <c r="J36" s="30"/>
    </row>
    <row r="37" spans="1:10" s="9" customFormat="1">
      <c r="A37" s="126" t="s">
        <v>30</v>
      </c>
      <c r="B37" s="127"/>
      <c r="C37" s="127"/>
      <c r="D37" s="127"/>
      <c r="E37" s="128"/>
      <c r="F37" s="28"/>
      <c r="H37" s="29"/>
      <c r="J37" s="30"/>
    </row>
    <row r="38" spans="1:10" s="9" customFormat="1">
      <c r="A38" s="126" t="s">
        <v>31</v>
      </c>
      <c r="B38" s="127"/>
      <c r="C38" s="127"/>
      <c r="D38" s="127"/>
      <c r="E38" s="128"/>
      <c r="F38" s="28"/>
      <c r="H38" s="29"/>
      <c r="J38" s="30"/>
    </row>
    <row r="39" spans="1:10" s="9" customFormat="1">
      <c r="A39" s="33" t="s">
        <v>32</v>
      </c>
      <c r="B39" s="119" t="s">
        <v>33</v>
      </c>
      <c r="C39" s="203"/>
      <c r="D39" s="20" t="s">
        <v>130</v>
      </c>
      <c r="E39" s="5" t="s">
        <v>13</v>
      </c>
      <c r="F39" s="28"/>
      <c r="H39" s="29"/>
      <c r="J39" s="30"/>
    </row>
    <row r="40" spans="1:10" s="9" customFormat="1">
      <c r="A40" s="21" t="s">
        <v>1</v>
      </c>
      <c r="B40" s="129" t="s">
        <v>127</v>
      </c>
      <c r="C40" s="130"/>
      <c r="D40" s="34">
        <v>0.2</v>
      </c>
      <c r="E40" s="17">
        <f>TRUNC($E$23*D40,2)</f>
        <v>193.05</v>
      </c>
      <c r="F40" s="28"/>
      <c r="H40" s="29"/>
      <c r="J40" s="30"/>
    </row>
    <row r="41" spans="1:10" s="9" customFormat="1">
      <c r="A41" s="21" t="s">
        <v>3</v>
      </c>
      <c r="B41" s="129" t="s">
        <v>128</v>
      </c>
      <c r="C41" s="130"/>
      <c r="D41" s="34">
        <v>1.4999999999999999E-2</v>
      </c>
      <c r="E41" s="17">
        <f t="shared" ref="E41:E47" si="1">TRUNC($E$23*D41,2)</f>
        <v>14.47</v>
      </c>
      <c r="F41" s="28"/>
      <c r="H41" s="29"/>
      <c r="J41" s="30"/>
    </row>
    <row r="42" spans="1:10" s="9" customFormat="1">
      <c r="A42" s="21" t="s">
        <v>5</v>
      </c>
      <c r="B42" s="129" t="s">
        <v>125</v>
      </c>
      <c r="C42" s="130"/>
      <c r="D42" s="34">
        <v>0.01</v>
      </c>
      <c r="E42" s="17">
        <f t="shared" si="1"/>
        <v>9.65</v>
      </c>
      <c r="F42" s="28"/>
      <c r="H42" s="35"/>
      <c r="J42" s="36"/>
    </row>
    <row r="43" spans="1:10" s="9" customFormat="1">
      <c r="A43" s="21" t="s">
        <v>7</v>
      </c>
      <c r="B43" s="131" t="s">
        <v>165</v>
      </c>
      <c r="C43" s="130"/>
      <c r="D43" s="110">
        <v>2E-3</v>
      </c>
      <c r="E43" s="17">
        <f t="shared" si="1"/>
        <v>1.93</v>
      </c>
      <c r="F43" s="28"/>
    </row>
    <row r="44" spans="1:10" s="9" customFormat="1">
      <c r="A44" s="21" t="s">
        <v>20</v>
      </c>
      <c r="B44" s="129" t="s">
        <v>126</v>
      </c>
      <c r="C44" s="130"/>
      <c r="D44" s="34">
        <v>2.5000000000000001E-2</v>
      </c>
      <c r="E44" s="17">
        <f t="shared" si="1"/>
        <v>24.13</v>
      </c>
      <c r="F44" s="37"/>
      <c r="H44" s="38"/>
      <c r="I44" s="39"/>
      <c r="J44" s="38"/>
    </row>
    <row r="45" spans="1:10" s="9" customFormat="1">
      <c r="A45" s="21" t="s">
        <v>21</v>
      </c>
      <c r="B45" s="129" t="s">
        <v>129</v>
      </c>
      <c r="C45" s="130"/>
      <c r="D45" s="34">
        <v>0.08</v>
      </c>
      <c r="E45" s="17">
        <f t="shared" si="1"/>
        <v>77.22</v>
      </c>
      <c r="F45" s="28"/>
    </row>
    <row r="46" spans="1:10" s="9" customFormat="1" ht="39.75" customHeight="1">
      <c r="A46" s="21" t="s">
        <v>22</v>
      </c>
      <c r="B46" s="198" t="s">
        <v>169</v>
      </c>
      <c r="C46" s="199"/>
      <c r="D46" s="110">
        <v>0.03</v>
      </c>
      <c r="E46" s="17">
        <f t="shared" si="1"/>
        <v>28.95</v>
      </c>
      <c r="F46" s="28"/>
    </row>
    <row r="47" spans="1:10" s="9" customFormat="1">
      <c r="A47" s="21" t="s">
        <v>34</v>
      </c>
      <c r="B47" s="200" t="s">
        <v>168</v>
      </c>
      <c r="C47" s="201"/>
      <c r="D47" s="110">
        <v>6.0000000000000001E-3</v>
      </c>
      <c r="E47" s="17">
        <f t="shared" si="1"/>
        <v>5.79</v>
      </c>
      <c r="F47" s="28"/>
    </row>
    <row r="48" spans="1:10" s="9" customFormat="1">
      <c r="A48" s="116" t="s">
        <v>35</v>
      </c>
      <c r="B48" s="117"/>
      <c r="C48" s="118"/>
      <c r="D48" s="40">
        <f>SUM(D40:D47)</f>
        <v>0.3680000000000001</v>
      </c>
      <c r="E48" s="18">
        <f>TRUNC(SUM(E40:E47),2)</f>
        <v>355.19</v>
      </c>
    </row>
    <row r="49" spans="1:12" s="9" customFormat="1">
      <c r="A49" s="126" t="s">
        <v>36</v>
      </c>
      <c r="B49" s="127"/>
      <c r="C49" s="127"/>
      <c r="D49" s="127"/>
      <c r="E49" s="128"/>
    </row>
    <row r="50" spans="1:12" s="9" customFormat="1">
      <c r="A50" s="33" t="s">
        <v>37</v>
      </c>
      <c r="B50" s="119" t="s">
        <v>97</v>
      </c>
      <c r="C50" s="120"/>
      <c r="D50" s="121"/>
      <c r="E50" s="5" t="s">
        <v>13</v>
      </c>
    </row>
    <row r="51" spans="1:12" s="9" customFormat="1">
      <c r="A51" s="21" t="s">
        <v>1</v>
      </c>
      <c r="B51" s="129" t="s">
        <v>38</v>
      </c>
      <c r="C51" s="130"/>
      <c r="D51" s="41">
        <f>1/12</f>
        <v>8.3333333333333329E-2</v>
      </c>
      <c r="E51" s="13">
        <f>TRUNC(+$E$23*D51,2)</f>
        <v>80.430000000000007</v>
      </c>
    </row>
    <row r="52" spans="1:12" s="9" customFormat="1">
      <c r="A52" s="116" t="s">
        <v>39</v>
      </c>
      <c r="B52" s="117"/>
      <c r="C52" s="202"/>
      <c r="D52" s="42">
        <f>SUM(D51:D51)</f>
        <v>8.3333333333333329E-2</v>
      </c>
      <c r="E52" s="18">
        <f>SUM(E51:E51)</f>
        <v>80.430000000000007</v>
      </c>
    </row>
    <row r="53" spans="1:12" s="9" customFormat="1">
      <c r="A53" s="21" t="s">
        <v>5</v>
      </c>
      <c r="B53" s="137" t="s">
        <v>40</v>
      </c>
      <c r="C53" s="138"/>
      <c r="D53" s="41">
        <f>+D48</f>
        <v>0.3680000000000001</v>
      </c>
      <c r="E53" s="13">
        <f>TRUNC(+E52*D53,2)</f>
        <v>29.59</v>
      </c>
    </row>
    <row r="54" spans="1:12" s="9" customFormat="1">
      <c r="A54" s="116" t="s">
        <v>35</v>
      </c>
      <c r="B54" s="117"/>
      <c r="C54" s="202"/>
      <c r="D54" s="43"/>
      <c r="E54" s="18">
        <f>+E53+E52</f>
        <v>110.02000000000001</v>
      </c>
    </row>
    <row r="55" spans="1:12" s="9" customFormat="1">
      <c r="A55" s="126" t="s">
        <v>41</v>
      </c>
      <c r="B55" s="127"/>
      <c r="C55" s="127"/>
      <c r="D55" s="127"/>
      <c r="E55" s="128"/>
    </row>
    <row r="56" spans="1:12" s="9" customFormat="1">
      <c r="A56" s="33" t="s">
        <v>42</v>
      </c>
      <c r="B56" s="119" t="s">
        <v>43</v>
      </c>
      <c r="C56" s="120"/>
      <c r="D56" s="121"/>
      <c r="E56" s="5" t="s">
        <v>13</v>
      </c>
    </row>
    <row r="57" spans="1:12" s="9" customFormat="1">
      <c r="A57" s="21" t="s">
        <v>1</v>
      </c>
      <c r="B57" s="137" t="s">
        <v>44</v>
      </c>
      <c r="C57" s="138"/>
      <c r="D57" s="111">
        <f>((38.05%*1.96%*47.81*61%)*3%)/1</f>
        <v>6.5250007493999991E-3</v>
      </c>
      <c r="E57" s="13">
        <f>TRUNC(+D57*$E$23,2)</f>
        <v>6.29</v>
      </c>
      <c r="L57" s="44"/>
    </row>
    <row r="58" spans="1:12" s="9" customFormat="1">
      <c r="A58" s="21" t="s">
        <v>3</v>
      </c>
      <c r="B58" s="137" t="s">
        <v>45</v>
      </c>
      <c r="C58" s="138"/>
      <c r="D58" s="34">
        <f>D48</f>
        <v>0.3680000000000001</v>
      </c>
      <c r="E58" s="13">
        <f>ROUND(+D58*E57,2)</f>
        <v>2.31</v>
      </c>
      <c r="F58" s="45"/>
      <c r="L58" s="44"/>
    </row>
    <row r="59" spans="1:12" s="9" customFormat="1">
      <c r="A59" s="116" t="s">
        <v>35</v>
      </c>
      <c r="B59" s="117"/>
      <c r="C59" s="117"/>
      <c r="D59" s="43"/>
      <c r="E59" s="18">
        <f>SUM(E57:E58)</f>
        <v>8.6</v>
      </c>
      <c r="F59" s="46"/>
      <c r="L59" s="44"/>
    </row>
    <row r="60" spans="1:12" s="9" customFormat="1">
      <c r="A60" s="126" t="s">
        <v>46</v>
      </c>
      <c r="B60" s="127"/>
      <c r="C60" s="127"/>
      <c r="D60" s="127"/>
      <c r="E60" s="128"/>
      <c r="F60" s="47"/>
      <c r="L60" s="44"/>
    </row>
    <row r="61" spans="1:12" s="9" customFormat="1">
      <c r="A61" s="33" t="s">
        <v>47</v>
      </c>
      <c r="B61" s="119" t="s">
        <v>48</v>
      </c>
      <c r="C61" s="120"/>
      <c r="D61" s="121"/>
      <c r="E61" s="5" t="s">
        <v>13</v>
      </c>
      <c r="L61" s="48"/>
    </row>
    <row r="62" spans="1:12" s="9" customFormat="1">
      <c r="A62" s="49" t="s">
        <v>1</v>
      </c>
      <c r="B62" s="135" t="s">
        <v>49</v>
      </c>
      <c r="C62" s="136"/>
      <c r="D62" s="50">
        <f>((1/12)*0.05)</f>
        <v>4.1666666666666666E-3</v>
      </c>
      <c r="E62" s="87">
        <f>TRUNC(+$E$23*D62,2)</f>
        <v>4.0199999999999996</v>
      </c>
      <c r="F62" s="46"/>
    </row>
    <row r="63" spans="1:12" s="9" customFormat="1">
      <c r="A63" s="49" t="s">
        <v>3</v>
      </c>
      <c r="B63" s="135" t="s">
        <v>98</v>
      </c>
      <c r="C63" s="136"/>
      <c r="D63" s="50">
        <f>+D45</f>
        <v>0.08</v>
      </c>
      <c r="E63" s="87">
        <f>TRUNC(+E62*D63,2)</f>
        <v>0.32</v>
      </c>
    </row>
    <row r="64" spans="1:12" s="9" customFormat="1" ht="15" customHeight="1">
      <c r="A64" s="49" t="s">
        <v>5</v>
      </c>
      <c r="B64" s="135" t="s">
        <v>104</v>
      </c>
      <c r="C64" s="136"/>
      <c r="D64" s="50">
        <f>(0.08*0.5*0.05)</f>
        <v>2E-3</v>
      </c>
      <c r="E64" s="87">
        <f>TRUNC(+$E$23*D64,2)</f>
        <v>1.93</v>
      </c>
    </row>
    <row r="65" spans="1:6" s="9" customFormat="1">
      <c r="A65" s="49" t="s">
        <v>7</v>
      </c>
      <c r="B65" s="188" t="s">
        <v>50</v>
      </c>
      <c r="C65" s="189"/>
      <c r="D65" s="50">
        <f>((7/30)/12)</f>
        <v>1.9444444444444445E-2</v>
      </c>
      <c r="E65" s="87">
        <f>TRUNC(+D65*$E$23,2)</f>
        <v>18.760000000000002</v>
      </c>
    </row>
    <row r="66" spans="1:6" s="9" customFormat="1" ht="15" customHeight="1">
      <c r="A66" s="49" t="s">
        <v>20</v>
      </c>
      <c r="B66" s="135" t="s">
        <v>99</v>
      </c>
      <c r="C66" s="136"/>
      <c r="D66" s="50">
        <f>+D48</f>
        <v>0.3680000000000001</v>
      </c>
      <c r="E66" s="87">
        <f>TRUNC(+E65*D66,2)</f>
        <v>6.9</v>
      </c>
    </row>
    <row r="67" spans="1:6" s="9" customFormat="1" ht="15" customHeight="1">
      <c r="A67" s="49" t="s">
        <v>21</v>
      </c>
      <c r="B67" s="135" t="s">
        <v>105</v>
      </c>
      <c r="C67" s="136"/>
      <c r="D67" s="50">
        <f>(0.08*0.5)</f>
        <v>0.04</v>
      </c>
      <c r="E67" s="87">
        <f>TRUNC(+E23*D67,2)</f>
        <v>38.61</v>
      </c>
    </row>
    <row r="68" spans="1:6" s="9" customFormat="1">
      <c r="A68" s="210" t="s">
        <v>35</v>
      </c>
      <c r="B68" s="211"/>
      <c r="C68" s="211"/>
      <c r="D68" s="51"/>
      <c r="E68" s="88">
        <f>SUM(E62:E67)</f>
        <v>70.539999999999992</v>
      </c>
    </row>
    <row r="69" spans="1:6" s="9" customFormat="1">
      <c r="A69" s="126" t="s">
        <v>51</v>
      </c>
      <c r="B69" s="127"/>
      <c r="C69" s="127"/>
      <c r="D69" s="127"/>
      <c r="E69" s="128"/>
    </row>
    <row r="70" spans="1:6" s="9" customFormat="1">
      <c r="A70" s="33" t="s">
        <v>52</v>
      </c>
      <c r="B70" s="207" t="s">
        <v>53</v>
      </c>
      <c r="C70" s="208"/>
      <c r="D70" s="209"/>
      <c r="E70" s="5" t="s">
        <v>13</v>
      </c>
    </row>
    <row r="71" spans="1:6" s="9" customFormat="1" ht="16.5" customHeight="1">
      <c r="A71" s="21" t="s">
        <v>1</v>
      </c>
      <c r="B71" s="137" t="s">
        <v>54</v>
      </c>
      <c r="C71" s="138"/>
      <c r="D71" s="34">
        <f>(((1+1/3)/12))</f>
        <v>0.1111111111111111</v>
      </c>
      <c r="E71" s="13">
        <f t="shared" ref="E71:E76" si="2">TRUNC(+D71*$E$23,2)</f>
        <v>107.25</v>
      </c>
      <c r="F71" s="36"/>
    </row>
    <row r="72" spans="1:6" s="9" customFormat="1">
      <c r="A72" s="21" t="s">
        <v>3</v>
      </c>
      <c r="B72" s="137" t="s">
        <v>55</v>
      </c>
      <c r="C72" s="138"/>
      <c r="D72" s="41">
        <v>1.66E-2</v>
      </c>
      <c r="E72" s="13">
        <f t="shared" si="2"/>
        <v>16.02</v>
      </c>
    </row>
    <row r="73" spans="1:6" s="9" customFormat="1">
      <c r="A73" s="21" t="s">
        <v>5</v>
      </c>
      <c r="B73" s="137" t="s">
        <v>56</v>
      </c>
      <c r="C73" s="138"/>
      <c r="D73" s="41">
        <v>2.0000000000000001E-4</v>
      </c>
      <c r="E73" s="13">
        <f t="shared" si="2"/>
        <v>0.19</v>
      </c>
      <c r="F73" s="52"/>
    </row>
    <row r="74" spans="1:6" s="9" customFormat="1">
      <c r="A74" s="21" t="s">
        <v>7</v>
      </c>
      <c r="B74" s="139" t="s">
        <v>57</v>
      </c>
      <c r="C74" s="140"/>
      <c r="D74" s="34">
        <v>2.8E-3</v>
      </c>
      <c r="E74" s="13">
        <f t="shared" si="2"/>
        <v>2.7</v>
      </c>
    </row>
    <row r="75" spans="1:6" s="9" customFormat="1">
      <c r="A75" s="21" t="s">
        <v>20</v>
      </c>
      <c r="B75" s="137" t="s">
        <v>58</v>
      </c>
      <c r="C75" s="138"/>
      <c r="D75" s="112">
        <v>2.9999999999999997E-4</v>
      </c>
      <c r="E75" s="13">
        <f t="shared" si="2"/>
        <v>0.28000000000000003</v>
      </c>
    </row>
    <row r="76" spans="1:6" s="9" customFormat="1">
      <c r="A76" s="21" t="s">
        <v>21</v>
      </c>
      <c r="B76" s="137" t="s">
        <v>23</v>
      </c>
      <c r="C76" s="138"/>
      <c r="D76" s="34">
        <v>0</v>
      </c>
      <c r="E76" s="13">
        <f t="shared" si="2"/>
        <v>0</v>
      </c>
      <c r="F76" s="52"/>
    </row>
    <row r="77" spans="1:6" s="9" customFormat="1">
      <c r="A77" s="116" t="s">
        <v>39</v>
      </c>
      <c r="B77" s="117"/>
      <c r="C77" s="118"/>
      <c r="D77" s="40"/>
      <c r="E77" s="18">
        <f>SUM(E71:E76)</f>
        <v>126.44</v>
      </c>
    </row>
    <row r="78" spans="1:6" s="9" customFormat="1" ht="30">
      <c r="A78" s="21" t="s">
        <v>22</v>
      </c>
      <c r="B78" s="16" t="s">
        <v>59</v>
      </c>
      <c r="C78" s="53"/>
      <c r="D78" s="41">
        <f>+D48</f>
        <v>0.3680000000000001</v>
      </c>
      <c r="E78" s="13">
        <f>TRUNC(+E77*D78,2)</f>
        <v>46.52</v>
      </c>
      <c r="F78" s="52"/>
    </row>
    <row r="79" spans="1:6" s="9" customFormat="1">
      <c r="A79" s="116" t="s">
        <v>35</v>
      </c>
      <c r="B79" s="117"/>
      <c r="C79" s="202"/>
      <c r="D79" s="54"/>
      <c r="E79" s="18">
        <f>SUM(E77:E78)</f>
        <v>172.96</v>
      </c>
    </row>
    <row r="80" spans="1:6" s="9" customFormat="1">
      <c r="A80" s="183" t="s">
        <v>60</v>
      </c>
      <c r="B80" s="184"/>
      <c r="C80" s="184"/>
      <c r="D80" s="184"/>
      <c r="E80" s="185"/>
    </row>
    <row r="81" spans="1:5" s="9" customFormat="1">
      <c r="A81" s="10">
        <v>4</v>
      </c>
      <c r="B81" s="119" t="s">
        <v>61</v>
      </c>
      <c r="C81" s="120"/>
      <c r="D81" s="121"/>
      <c r="E81" s="5" t="s">
        <v>13</v>
      </c>
    </row>
    <row r="82" spans="1:5" s="9" customFormat="1" ht="30" customHeight="1">
      <c r="A82" s="21" t="s">
        <v>32</v>
      </c>
      <c r="B82" s="132" t="s">
        <v>62</v>
      </c>
      <c r="C82" s="133"/>
      <c r="D82" s="134"/>
      <c r="E82" s="13">
        <f>+E48</f>
        <v>355.19</v>
      </c>
    </row>
    <row r="83" spans="1:5" s="9" customFormat="1">
      <c r="A83" s="21" t="s">
        <v>37</v>
      </c>
      <c r="B83" s="132" t="s">
        <v>63</v>
      </c>
      <c r="C83" s="133"/>
      <c r="D83" s="134"/>
      <c r="E83" s="13">
        <f>+E54</f>
        <v>110.02000000000001</v>
      </c>
    </row>
    <row r="84" spans="1:5" s="9" customFormat="1">
      <c r="A84" s="21" t="s">
        <v>42</v>
      </c>
      <c r="B84" s="132" t="s">
        <v>44</v>
      </c>
      <c r="C84" s="133"/>
      <c r="D84" s="134"/>
      <c r="E84" s="13">
        <f>+E59</f>
        <v>8.6</v>
      </c>
    </row>
    <row r="85" spans="1:5" s="9" customFormat="1">
      <c r="A85" s="21" t="s">
        <v>47</v>
      </c>
      <c r="B85" s="132" t="s">
        <v>64</v>
      </c>
      <c r="C85" s="133"/>
      <c r="D85" s="134"/>
      <c r="E85" s="13">
        <f>E68</f>
        <v>70.539999999999992</v>
      </c>
    </row>
    <row r="86" spans="1:5" s="9" customFormat="1">
      <c r="A86" s="21" t="s">
        <v>52</v>
      </c>
      <c r="B86" s="132" t="s">
        <v>65</v>
      </c>
      <c r="C86" s="133"/>
      <c r="D86" s="134"/>
      <c r="E86" s="13">
        <f>+E79</f>
        <v>172.96</v>
      </c>
    </row>
    <row r="87" spans="1:5" s="9" customFormat="1">
      <c r="A87" s="21" t="s">
        <v>66</v>
      </c>
      <c r="B87" s="132" t="s">
        <v>23</v>
      </c>
      <c r="C87" s="133"/>
      <c r="D87" s="134"/>
      <c r="E87" s="13">
        <f t="shared" ref="E87" si="3">+$E$23*D87</f>
        <v>0</v>
      </c>
    </row>
    <row r="88" spans="1:5" s="19" customFormat="1" ht="15" customHeight="1">
      <c r="A88" s="186" t="s">
        <v>67</v>
      </c>
      <c r="B88" s="187"/>
      <c r="C88" s="187"/>
      <c r="D88" s="190"/>
      <c r="E88" s="18">
        <f>SUM(E82:E87)</f>
        <v>717.31000000000006</v>
      </c>
    </row>
    <row r="89" spans="1:5" s="19" customFormat="1" ht="29.25" customHeight="1">
      <c r="A89" s="186" t="s">
        <v>68</v>
      </c>
      <c r="B89" s="187"/>
      <c r="C89" s="187"/>
      <c r="D89" s="55"/>
      <c r="E89" s="18">
        <f>+E23+E31+E36+E88</f>
        <v>2002.87</v>
      </c>
    </row>
    <row r="90" spans="1:5" s="9" customFormat="1">
      <c r="A90" s="126" t="s">
        <v>69</v>
      </c>
      <c r="B90" s="127"/>
      <c r="C90" s="127" t="s">
        <v>70</v>
      </c>
      <c r="D90" s="128" t="s">
        <v>71</v>
      </c>
      <c r="E90" s="8"/>
    </row>
    <row r="91" spans="1:5" s="9" customFormat="1">
      <c r="A91" s="10">
        <v>5</v>
      </c>
      <c r="B91" s="119" t="s">
        <v>72</v>
      </c>
      <c r="C91" s="120"/>
      <c r="D91" s="121"/>
      <c r="E91" s="56" t="s">
        <v>13</v>
      </c>
    </row>
    <row r="92" spans="1:5" s="9" customFormat="1">
      <c r="A92" s="108" t="s">
        <v>1</v>
      </c>
      <c r="B92" s="57" t="s">
        <v>73</v>
      </c>
      <c r="C92" s="194">
        <v>0</v>
      </c>
      <c r="D92" s="195"/>
      <c r="E92" s="13">
        <f>+E89*C92</f>
        <v>0</v>
      </c>
    </row>
    <row r="93" spans="1:5" s="9" customFormat="1">
      <c r="A93" s="108" t="s">
        <v>3</v>
      </c>
      <c r="B93" s="57" t="s">
        <v>74</v>
      </c>
      <c r="C93" s="194">
        <v>0</v>
      </c>
      <c r="D93" s="195"/>
      <c r="E93" s="13">
        <f>C93*(+E89+E92)</f>
        <v>0</v>
      </c>
    </row>
    <row r="94" spans="1:5" s="9" customFormat="1" ht="27" customHeight="1">
      <c r="A94" s="196" t="s">
        <v>5</v>
      </c>
      <c r="B94" s="215" t="s">
        <v>94</v>
      </c>
      <c r="C94" s="216"/>
      <c r="D94" s="25">
        <f>+(100-8.65)/100</f>
        <v>0.91349999999999998</v>
      </c>
      <c r="E94" s="17">
        <f>+E89+E92+E93</f>
        <v>2002.87</v>
      </c>
    </row>
    <row r="95" spans="1:5" s="9" customFormat="1">
      <c r="A95" s="196"/>
      <c r="B95" s="109" t="s">
        <v>75</v>
      </c>
      <c r="E95" s="89">
        <f>+E94/D94</f>
        <v>2192.5232621784344</v>
      </c>
    </row>
    <row r="96" spans="1:5" s="9" customFormat="1">
      <c r="A96" s="196"/>
      <c r="B96" s="58" t="s">
        <v>76</v>
      </c>
      <c r="C96" s="59"/>
      <c r="D96" s="60"/>
      <c r="E96" s="13"/>
    </row>
    <row r="97" spans="1:6" s="9" customFormat="1">
      <c r="A97" s="196"/>
      <c r="B97" s="61" t="s">
        <v>101</v>
      </c>
      <c r="C97" s="62"/>
      <c r="D97" s="78">
        <v>6.4999999999999997E-3</v>
      </c>
      <c r="E97" s="13">
        <f>+E95*D97</f>
        <v>14.251401204159823</v>
      </c>
      <c r="F97" s="52"/>
    </row>
    <row r="98" spans="1:6" s="9" customFormat="1">
      <c r="A98" s="196"/>
      <c r="B98" s="61" t="s">
        <v>102</v>
      </c>
      <c r="C98" s="62"/>
      <c r="D98" s="78">
        <v>0.03</v>
      </c>
      <c r="E98" s="13">
        <f>+E95*D98</f>
        <v>65.775697865353024</v>
      </c>
    </row>
    <row r="99" spans="1:6" s="9" customFormat="1">
      <c r="A99" s="196"/>
      <c r="B99" s="63" t="s">
        <v>77</v>
      </c>
      <c r="C99" s="64"/>
      <c r="D99" s="65"/>
      <c r="E99" s="13"/>
    </row>
    <row r="100" spans="1:6" s="9" customFormat="1">
      <c r="A100" s="196"/>
      <c r="B100" s="63" t="s">
        <v>78</v>
      </c>
      <c r="C100" s="64"/>
      <c r="D100" s="66"/>
      <c r="E100" s="13"/>
    </row>
    <row r="101" spans="1:6" s="9" customFormat="1" ht="15.75" thickBot="1">
      <c r="A101" s="197"/>
      <c r="B101" s="67" t="s">
        <v>103</v>
      </c>
      <c r="C101" s="68"/>
      <c r="D101" s="79">
        <v>0.05</v>
      </c>
      <c r="E101" s="90">
        <f>+E95*D101</f>
        <v>109.62616310892173</v>
      </c>
    </row>
    <row r="102" spans="1:6" s="9" customFormat="1" ht="15.75" thickBot="1">
      <c r="A102" s="69"/>
      <c r="B102" s="70" t="s">
        <v>79</v>
      </c>
      <c r="C102" s="70"/>
      <c r="D102" s="71">
        <f>SUM(D97:D101)</f>
        <v>8.6499999999999994E-2</v>
      </c>
      <c r="E102" s="91">
        <f>SUM(E97:E101)</f>
        <v>189.65326217843457</v>
      </c>
    </row>
    <row r="103" spans="1:6" s="19" customFormat="1">
      <c r="A103" s="191" t="s">
        <v>80</v>
      </c>
      <c r="B103" s="192"/>
      <c r="C103" s="192"/>
      <c r="D103" s="193"/>
      <c r="E103" s="92">
        <f>+E92+E93+E102</f>
        <v>189.65326217843457</v>
      </c>
    </row>
    <row r="104" spans="1:6" s="9" customFormat="1">
      <c r="A104" s="186" t="s">
        <v>81</v>
      </c>
      <c r="B104" s="187"/>
      <c r="C104" s="187"/>
      <c r="D104" s="190"/>
      <c r="E104" s="72" t="s">
        <v>13</v>
      </c>
    </row>
    <row r="105" spans="1:6" s="9" customFormat="1">
      <c r="A105" s="108" t="s">
        <v>1</v>
      </c>
      <c r="B105" s="212" t="s">
        <v>82</v>
      </c>
      <c r="C105" s="213"/>
      <c r="D105" s="214"/>
      <c r="E105" s="13">
        <f>+E23</f>
        <v>965.25</v>
      </c>
    </row>
    <row r="106" spans="1:6" s="9" customFormat="1">
      <c r="A106" s="108" t="s">
        <v>3</v>
      </c>
      <c r="B106" s="212" t="s">
        <v>83</v>
      </c>
      <c r="C106" s="213"/>
      <c r="D106" s="214"/>
      <c r="E106" s="13">
        <f>+E31</f>
        <v>320.31</v>
      </c>
    </row>
    <row r="107" spans="1:6" s="9" customFormat="1">
      <c r="A107" s="108" t="s">
        <v>5</v>
      </c>
      <c r="B107" s="212" t="s">
        <v>84</v>
      </c>
      <c r="C107" s="213"/>
      <c r="D107" s="214"/>
      <c r="E107" s="13">
        <f>+E36</f>
        <v>0</v>
      </c>
    </row>
    <row r="108" spans="1:6" s="9" customFormat="1">
      <c r="A108" s="108" t="s">
        <v>7</v>
      </c>
      <c r="B108" s="212" t="s">
        <v>85</v>
      </c>
      <c r="C108" s="213"/>
      <c r="D108" s="214"/>
      <c r="E108" s="13">
        <f>+E88</f>
        <v>717.31000000000006</v>
      </c>
    </row>
    <row r="109" spans="1:6" s="9" customFormat="1">
      <c r="A109" s="116" t="s">
        <v>86</v>
      </c>
      <c r="B109" s="117"/>
      <c r="C109" s="202"/>
      <c r="D109" s="73"/>
      <c r="E109" s="18">
        <f>SUM(E105:E108)</f>
        <v>2002.87</v>
      </c>
    </row>
    <row r="110" spans="1:6" s="9" customFormat="1">
      <c r="A110" s="108" t="s">
        <v>20</v>
      </c>
      <c r="B110" s="212" t="s">
        <v>87</v>
      </c>
      <c r="C110" s="213"/>
      <c r="D110" s="214"/>
      <c r="E110" s="13">
        <f>+E103</f>
        <v>189.65326217843457</v>
      </c>
    </row>
    <row r="111" spans="1:6" s="19" customFormat="1" ht="15.75">
      <c r="A111" s="204" t="s">
        <v>88</v>
      </c>
      <c r="B111" s="205"/>
      <c r="C111" s="205"/>
      <c r="D111" s="206"/>
      <c r="E111" s="93">
        <f>+E109+E110</f>
        <v>2192.5232621784344</v>
      </c>
    </row>
    <row r="112" spans="1:6">
      <c r="A112" s="74" t="s">
        <v>89</v>
      </c>
      <c r="E112" s="77">
        <f>+E111/E105</f>
        <v>2.2714563710732292</v>
      </c>
    </row>
  </sheetData>
  <sheetProtection password="CAC1" sheet="1" objects="1" scenarios="1"/>
  <mergeCells count="97">
    <mergeCell ref="A111:D111"/>
    <mergeCell ref="C93:D93"/>
    <mergeCell ref="A94:A101"/>
    <mergeCell ref="B94:C94"/>
    <mergeCell ref="A103:D103"/>
    <mergeCell ref="A104:D104"/>
    <mergeCell ref="B105:D105"/>
    <mergeCell ref="B106:D106"/>
    <mergeCell ref="B107:D107"/>
    <mergeCell ref="B108:D108"/>
    <mergeCell ref="A109:C109"/>
    <mergeCell ref="B110:D110"/>
    <mergeCell ref="C92:D92"/>
    <mergeCell ref="B81:D81"/>
    <mergeCell ref="B82:D82"/>
    <mergeCell ref="B83:D83"/>
    <mergeCell ref="B84:D84"/>
    <mergeCell ref="B85:D85"/>
    <mergeCell ref="B86:D86"/>
    <mergeCell ref="B87:D87"/>
    <mergeCell ref="A88:D88"/>
    <mergeCell ref="A89:C89"/>
    <mergeCell ref="A90:D90"/>
    <mergeCell ref="B91:D91"/>
    <mergeCell ref="A80:E80"/>
    <mergeCell ref="A68:C68"/>
    <mergeCell ref="A69:E69"/>
    <mergeCell ref="B70:D70"/>
    <mergeCell ref="B71:C71"/>
    <mergeCell ref="B72:C72"/>
    <mergeCell ref="B73:C73"/>
    <mergeCell ref="B74:C74"/>
    <mergeCell ref="B75:C75"/>
    <mergeCell ref="B76:C76"/>
    <mergeCell ref="A77:C77"/>
    <mergeCell ref="A79:C79"/>
    <mergeCell ref="B67:C67"/>
    <mergeCell ref="B56:D56"/>
    <mergeCell ref="B57:C57"/>
    <mergeCell ref="B58:C58"/>
    <mergeCell ref="A59:C59"/>
    <mergeCell ref="A60:E60"/>
    <mergeCell ref="B61:D61"/>
    <mergeCell ref="B62:C62"/>
    <mergeCell ref="B63:C63"/>
    <mergeCell ref="B64:C64"/>
    <mergeCell ref="B65:C65"/>
    <mergeCell ref="B66:C66"/>
    <mergeCell ref="A55:E55"/>
    <mergeCell ref="B44:C44"/>
    <mergeCell ref="B45:C45"/>
    <mergeCell ref="B46:C46"/>
    <mergeCell ref="B47:C47"/>
    <mergeCell ref="A48:C48"/>
    <mergeCell ref="A49:E49"/>
    <mergeCell ref="B50:D50"/>
    <mergeCell ref="B51:C51"/>
    <mergeCell ref="A52:C52"/>
    <mergeCell ref="B53:C53"/>
    <mergeCell ref="A54:C54"/>
    <mergeCell ref="B43:C43"/>
    <mergeCell ref="A23:D23"/>
    <mergeCell ref="A24:D24"/>
    <mergeCell ref="A31:D31"/>
    <mergeCell ref="A32:E32"/>
    <mergeCell ref="A36:D36"/>
    <mergeCell ref="A37:E37"/>
    <mergeCell ref="A38:E38"/>
    <mergeCell ref="B39:C39"/>
    <mergeCell ref="B40:C40"/>
    <mergeCell ref="B41:C41"/>
    <mergeCell ref="B42:C42"/>
    <mergeCell ref="C22:D22"/>
    <mergeCell ref="C16:E16"/>
    <mergeCell ref="C17:E17"/>
    <mergeCell ref="C18:E18"/>
    <mergeCell ref="A19:D19"/>
    <mergeCell ref="B20:D20"/>
    <mergeCell ref="C21:D21"/>
    <mergeCell ref="A14:D14"/>
    <mergeCell ref="C15:E15"/>
    <mergeCell ref="C6:E6"/>
    <mergeCell ref="C7:E7"/>
    <mergeCell ref="C8:E8"/>
    <mergeCell ref="A9:E9"/>
    <mergeCell ref="A10:B10"/>
    <mergeCell ref="C10:E10"/>
    <mergeCell ref="C5:E5"/>
    <mergeCell ref="A11:B11"/>
    <mergeCell ref="C11:E11"/>
    <mergeCell ref="A12:E12"/>
    <mergeCell ref="A13:E13"/>
    <mergeCell ref="A2:C2"/>
    <mergeCell ref="D2:E2"/>
    <mergeCell ref="A3:C3"/>
    <mergeCell ref="D3:E3"/>
    <mergeCell ref="A4:E4"/>
  </mergeCells>
  <printOptions horizontalCentered="1"/>
  <pageMargins left="3.937007874015748E-2" right="3.937007874015748E-2" top="0.15748031496062992" bottom="0.15748031496062992" header="0.31496062992125984" footer="0"/>
  <pageSetup paperSize="9" scale="58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12"/>
  <sheetViews>
    <sheetView showGridLines="0" zoomScale="90" zoomScaleNormal="90" zoomScaleSheetLayoutView="145" zoomScalePageLayoutView="55" workbookViewId="0">
      <pane xSplit="1" topLeftCell="B1" activePane="topRight" state="frozen"/>
      <selection activeCell="A10" sqref="A10"/>
      <selection pane="topRight" sqref="A1:XFD1048576"/>
    </sheetView>
  </sheetViews>
  <sheetFormatPr defaultRowHeight="15"/>
  <cols>
    <col min="1" max="1" width="9.140625" style="74" customWidth="1"/>
    <col min="2" max="2" width="45.7109375" style="75" bestFit="1" customWidth="1"/>
    <col min="3" max="3" width="24.28515625" style="75" customWidth="1"/>
    <col min="4" max="4" width="14.5703125" style="76" customWidth="1"/>
    <col min="5" max="5" width="16.28515625" style="77" customWidth="1"/>
    <col min="6" max="6" width="31.85546875" style="1" customWidth="1"/>
    <col min="7" max="7" width="5.5703125" style="1" customWidth="1"/>
    <col min="8" max="8" width="11.140625" style="1" hidden="1" customWidth="1"/>
    <col min="9" max="9" width="22" style="1" customWidth="1"/>
    <col min="10" max="16384" width="9.140625" style="1"/>
  </cols>
  <sheetData>
    <row r="2" spans="1:5" ht="15" customHeight="1">
      <c r="A2" s="141" t="s">
        <v>90</v>
      </c>
      <c r="B2" s="142"/>
      <c r="C2" s="143"/>
      <c r="D2" s="144"/>
      <c r="E2" s="145"/>
    </row>
    <row r="3" spans="1:5" ht="15" customHeight="1">
      <c r="A3" s="141" t="s">
        <v>91</v>
      </c>
      <c r="B3" s="142"/>
      <c r="C3" s="143"/>
      <c r="D3" s="217"/>
      <c r="E3" s="145"/>
    </row>
    <row r="4" spans="1:5" s="2" customFormat="1">
      <c r="A4" s="150" t="s">
        <v>0</v>
      </c>
      <c r="B4" s="151"/>
      <c r="C4" s="151"/>
      <c r="D4" s="151"/>
      <c r="E4" s="152"/>
    </row>
    <row r="5" spans="1:5">
      <c r="A5" s="3" t="s">
        <v>1</v>
      </c>
      <c r="B5" s="4" t="s">
        <v>2</v>
      </c>
      <c r="C5" s="153">
        <v>42583</v>
      </c>
      <c r="D5" s="154"/>
      <c r="E5" s="155"/>
    </row>
    <row r="6" spans="1:5">
      <c r="A6" s="3" t="s">
        <v>3</v>
      </c>
      <c r="B6" s="4" t="s">
        <v>4</v>
      </c>
      <c r="C6" s="156" t="s">
        <v>143</v>
      </c>
      <c r="D6" s="157"/>
      <c r="E6" s="158"/>
    </row>
    <row r="7" spans="1:5" ht="30">
      <c r="A7" s="3" t="s">
        <v>5</v>
      </c>
      <c r="B7" s="4" t="s">
        <v>6</v>
      </c>
      <c r="C7" s="153" t="str">
        <f>'Recife SEDE'!C7:E7</f>
        <v>2016/2016 - Registro no MTE: PE000143/2016</v>
      </c>
      <c r="D7" s="154"/>
      <c r="E7" s="155"/>
    </row>
    <row r="8" spans="1:5">
      <c r="A8" s="3" t="s">
        <v>7</v>
      </c>
      <c r="B8" s="4" t="s">
        <v>92</v>
      </c>
      <c r="C8" s="156" t="s">
        <v>96</v>
      </c>
      <c r="D8" s="157"/>
      <c r="E8" s="158"/>
    </row>
    <row r="9" spans="1:5" s="2" customFormat="1">
      <c r="A9" s="159" t="s">
        <v>8</v>
      </c>
      <c r="B9" s="160"/>
      <c r="C9" s="160"/>
      <c r="D9" s="160"/>
      <c r="E9" s="161"/>
    </row>
    <row r="10" spans="1:5" ht="15" customHeight="1">
      <c r="A10" s="162" t="s">
        <v>9</v>
      </c>
      <c r="B10" s="163"/>
      <c r="C10" s="147" t="s">
        <v>109</v>
      </c>
      <c r="D10" s="148"/>
      <c r="E10" s="149"/>
    </row>
    <row r="11" spans="1:5">
      <c r="A11" s="154" t="s">
        <v>140</v>
      </c>
      <c r="B11" s="155"/>
      <c r="C11" s="164">
        <v>1</v>
      </c>
      <c r="D11" s="164"/>
      <c r="E11" s="164"/>
    </row>
    <row r="12" spans="1:5" s="2" customFormat="1">
      <c r="A12" s="165" t="s">
        <v>10</v>
      </c>
      <c r="B12" s="166"/>
      <c r="C12" s="166"/>
      <c r="D12" s="166"/>
      <c r="E12" s="167"/>
    </row>
    <row r="13" spans="1:5" s="2" customFormat="1">
      <c r="A13" s="168" t="s">
        <v>11</v>
      </c>
      <c r="B13" s="169"/>
      <c r="C13" s="169"/>
      <c r="D13" s="169"/>
      <c r="E13" s="170"/>
    </row>
    <row r="14" spans="1:5" ht="15" customHeight="1">
      <c r="A14" s="174" t="s">
        <v>12</v>
      </c>
      <c r="B14" s="175"/>
      <c r="C14" s="175"/>
      <c r="D14" s="176"/>
      <c r="E14" s="5" t="s">
        <v>13</v>
      </c>
    </row>
    <row r="15" spans="1:5" ht="30">
      <c r="A15" s="3">
        <v>1</v>
      </c>
      <c r="B15" s="6" t="s">
        <v>93</v>
      </c>
      <c r="C15" s="177" t="s">
        <v>140</v>
      </c>
      <c r="D15" s="178"/>
      <c r="E15" s="179"/>
    </row>
    <row r="16" spans="1:5">
      <c r="A16" s="3">
        <v>2</v>
      </c>
      <c r="B16" s="6" t="s">
        <v>14</v>
      </c>
      <c r="C16" s="171">
        <v>965.25</v>
      </c>
      <c r="D16" s="172"/>
      <c r="E16" s="173"/>
    </row>
    <row r="17" spans="1:9" ht="30">
      <c r="A17" s="3">
        <v>3</v>
      </c>
      <c r="B17" s="6" t="s">
        <v>15</v>
      </c>
      <c r="C17" s="177" t="s">
        <v>140</v>
      </c>
      <c r="D17" s="178"/>
      <c r="E17" s="179"/>
    </row>
    <row r="18" spans="1:9">
      <c r="A18" s="3">
        <v>4</v>
      </c>
      <c r="B18" s="7" t="s">
        <v>16</v>
      </c>
      <c r="C18" s="180" t="s">
        <v>108</v>
      </c>
      <c r="D18" s="181"/>
      <c r="E18" s="182"/>
    </row>
    <row r="19" spans="1:9" s="9" customFormat="1">
      <c r="A19" s="183" t="s">
        <v>17</v>
      </c>
      <c r="B19" s="184"/>
      <c r="C19" s="184"/>
      <c r="D19" s="185"/>
      <c r="E19" s="8"/>
    </row>
    <row r="20" spans="1:9" s="9" customFormat="1">
      <c r="A20" s="10">
        <v>1</v>
      </c>
      <c r="B20" s="119" t="s">
        <v>18</v>
      </c>
      <c r="C20" s="120"/>
      <c r="D20" s="121"/>
      <c r="E20" s="5" t="s">
        <v>13</v>
      </c>
    </row>
    <row r="21" spans="1:9">
      <c r="A21" s="11" t="s">
        <v>1</v>
      </c>
      <c r="B21" s="12" t="s">
        <v>19</v>
      </c>
      <c r="C21" s="122"/>
      <c r="D21" s="123"/>
      <c r="E21" s="13">
        <f>+C16</f>
        <v>965.25</v>
      </c>
      <c r="H21" s="1">
        <f>+$E$21*2</f>
        <v>1930.5</v>
      </c>
    </row>
    <row r="22" spans="1:9">
      <c r="A22" s="11" t="s">
        <v>3</v>
      </c>
      <c r="B22" s="16" t="s">
        <v>23</v>
      </c>
      <c r="C22" s="124"/>
      <c r="D22" s="125"/>
      <c r="E22" s="14">
        <f>C22*$C$16</f>
        <v>0</v>
      </c>
      <c r="F22" s="15"/>
      <c r="H22" s="1">
        <f t="shared" ref="H22" si="0">+$E$21*2</f>
        <v>1930.5</v>
      </c>
    </row>
    <row r="23" spans="1:9" s="19" customFormat="1" ht="15" customHeight="1">
      <c r="A23" s="113" t="s">
        <v>24</v>
      </c>
      <c r="B23" s="114"/>
      <c r="C23" s="114"/>
      <c r="D23" s="115"/>
      <c r="E23" s="18">
        <f>TRUNC(SUM(E21:E22),2)</f>
        <v>965.25</v>
      </c>
      <c r="F23" s="15"/>
    </row>
    <row r="24" spans="1:9" s="9" customFormat="1">
      <c r="A24" s="126" t="s">
        <v>95</v>
      </c>
      <c r="B24" s="127"/>
      <c r="C24" s="127"/>
      <c r="D24" s="128"/>
      <c r="E24" s="8"/>
      <c r="F24" s="15"/>
    </row>
    <row r="25" spans="1:9">
      <c r="A25" s="10">
        <v>2</v>
      </c>
      <c r="B25" s="20" t="s">
        <v>25</v>
      </c>
      <c r="C25" s="20" t="s">
        <v>110</v>
      </c>
      <c r="D25" s="20" t="s">
        <v>111</v>
      </c>
      <c r="E25" s="5" t="s">
        <v>13</v>
      </c>
      <c r="F25" s="15"/>
    </row>
    <row r="26" spans="1:9">
      <c r="A26" s="21" t="s">
        <v>1</v>
      </c>
      <c r="B26" s="16" t="s">
        <v>100</v>
      </c>
      <c r="C26" s="3">
        <v>44</v>
      </c>
      <c r="D26" s="100">
        <v>2.8</v>
      </c>
      <c r="E26" s="22">
        <f>+TRUNC((C26*D26)-(C16*0.06),2)</f>
        <v>65.28</v>
      </c>
      <c r="F26" s="15"/>
      <c r="I26" s="15"/>
    </row>
    <row r="27" spans="1:9">
      <c r="A27" s="21" t="s">
        <v>3</v>
      </c>
      <c r="B27" s="16" t="s">
        <v>133</v>
      </c>
      <c r="C27" s="3">
        <v>22</v>
      </c>
      <c r="D27" s="85">
        <v>6.66</v>
      </c>
      <c r="E27" s="22">
        <f>TRUNC((C27*D27)*0.8,2)</f>
        <v>117.21</v>
      </c>
      <c r="F27" s="23"/>
      <c r="I27" s="15"/>
    </row>
    <row r="28" spans="1:9">
      <c r="A28" s="21" t="s">
        <v>5</v>
      </c>
      <c r="B28" s="16" t="s">
        <v>132</v>
      </c>
      <c r="C28" s="3">
        <v>1</v>
      </c>
      <c r="D28" s="85">
        <v>100</v>
      </c>
      <c r="E28" s="22">
        <f>TRUNC((C28*D28),2)</f>
        <v>100</v>
      </c>
      <c r="F28" s="15"/>
      <c r="I28" s="15"/>
    </row>
    <row r="29" spans="1:9">
      <c r="A29" s="21" t="s">
        <v>7</v>
      </c>
      <c r="B29" s="16" t="s">
        <v>134</v>
      </c>
      <c r="C29" s="3">
        <v>1</v>
      </c>
      <c r="D29" s="85">
        <v>37.82</v>
      </c>
      <c r="E29" s="22">
        <f>TRUNC((C29*D29),2)</f>
        <v>37.82</v>
      </c>
      <c r="I29" s="15"/>
    </row>
    <row r="30" spans="1:9">
      <c r="A30" s="21" t="s">
        <v>20</v>
      </c>
      <c r="B30" s="16" t="s">
        <v>106</v>
      </c>
      <c r="C30" s="3">
        <v>0</v>
      </c>
      <c r="D30" s="85">
        <v>0</v>
      </c>
      <c r="E30" s="22">
        <f>TRUNC((C30*D30),2)</f>
        <v>0</v>
      </c>
      <c r="I30" s="15"/>
    </row>
    <row r="31" spans="1:9" s="19" customFormat="1" ht="15" customHeight="1">
      <c r="A31" s="113" t="s">
        <v>26</v>
      </c>
      <c r="B31" s="114"/>
      <c r="C31" s="114"/>
      <c r="D31" s="115"/>
      <c r="E31" s="18">
        <f>SUM(E26:E30)</f>
        <v>320.31</v>
      </c>
    </row>
    <row r="32" spans="1:9" s="9" customFormat="1">
      <c r="A32" s="126" t="s">
        <v>27</v>
      </c>
      <c r="B32" s="127"/>
      <c r="C32" s="127"/>
      <c r="D32" s="127"/>
      <c r="E32" s="128"/>
    </row>
    <row r="33" spans="1:10" s="9" customFormat="1">
      <c r="A33" s="10">
        <v>3</v>
      </c>
      <c r="B33" s="20" t="s">
        <v>28</v>
      </c>
      <c r="C33" s="20" t="s">
        <v>110</v>
      </c>
      <c r="D33" s="20" t="s">
        <v>111</v>
      </c>
      <c r="E33" s="5" t="s">
        <v>13</v>
      </c>
    </row>
    <row r="34" spans="1:10" s="9" customFormat="1">
      <c r="A34" s="21" t="s">
        <v>1</v>
      </c>
      <c r="B34" s="16" t="s">
        <v>167</v>
      </c>
      <c r="C34" s="24">
        <v>1</v>
      </c>
      <c r="D34" s="13">
        <f>Uniforme!G12</f>
        <v>0</v>
      </c>
      <c r="E34" s="13">
        <f>TRUNC((C34*D34),2)</f>
        <v>0</v>
      </c>
      <c r="F34" s="26"/>
    </row>
    <row r="35" spans="1:10" s="9" customFormat="1">
      <c r="A35" s="21" t="s">
        <v>3</v>
      </c>
      <c r="B35" s="16" t="s">
        <v>107</v>
      </c>
      <c r="C35" s="27">
        <v>0</v>
      </c>
      <c r="D35" s="86">
        <v>0</v>
      </c>
      <c r="E35" s="13">
        <f>TRUNC((C35*D35),2)</f>
        <v>0</v>
      </c>
    </row>
    <row r="36" spans="1:10" s="19" customFormat="1" ht="15" customHeight="1">
      <c r="A36" s="113" t="s">
        <v>29</v>
      </c>
      <c r="B36" s="114"/>
      <c r="C36" s="114"/>
      <c r="D36" s="115"/>
      <c r="E36" s="18">
        <f>SUM(E34:E35)</f>
        <v>0</v>
      </c>
      <c r="F36" s="28"/>
      <c r="H36" s="32"/>
      <c r="J36" s="30"/>
    </row>
    <row r="37" spans="1:10" s="9" customFormat="1">
      <c r="A37" s="126" t="s">
        <v>30</v>
      </c>
      <c r="B37" s="127"/>
      <c r="C37" s="127"/>
      <c r="D37" s="127"/>
      <c r="E37" s="128"/>
      <c r="F37" s="28"/>
      <c r="H37" s="29"/>
      <c r="J37" s="30"/>
    </row>
    <row r="38" spans="1:10" s="9" customFormat="1">
      <c r="A38" s="126" t="s">
        <v>31</v>
      </c>
      <c r="B38" s="127"/>
      <c r="C38" s="127"/>
      <c r="D38" s="127"/>
      <c r="E38" s="128"/>
      <c r="F38" s="28"/>
      <c r="H38" s="29"/>
      <c r="J38" s="30"/>
    </row>
    <row r="39" spans="1:10" s="9" customFormat="1">
      <c r="A39" s="33" t="s">
        <v>32</v>
      </c>
      <c r="B39" s="119" t="s">
        <v>33</v>
      </c>
      <c r="C39" s="203"/>
      <c r="D39" s="20" t="s">
        <v>130</v>
      </c>
      <c r="E39" s="5" t="s">
        <v>13</v>
      </c>
      <c r="F39" s="28"/>
      <c r="H39" s="29"/>
      <c r="J39" s="30"/>
    </row>
    <row r="40" spans="1:10" s="9" customFormat="1">
      <c r="A40" s="21" t="s">
        <v>1</v>
      </c>
      <c r="B40" s="129" t="s">
        <v>127</v>
      </c>
      <c r="C40" s="130"/>
      <c r="D40" s="34">
        <v>0.2</v>
      </c>
      <c r="E40" s="17">
        <f>TRUNC($E$23*D40,2)</f>
        <v>193.05</v>
      </c>
      <c r="F40" s="28"/>
      <c r="H40" s="29"/>
      <c r="J40" s="30"/>
    </row>
    <row r="41" spans="1:10" s="9" customFormat="1">
      <c r="A41" s="21" t="s">
        <v>3</v>
      </c>
      <c r="B41" s="129" t="s">
        <v>128</v>
      </c>
      <c r="C41" s="130"/>
      <c r="D41" s="34">
        <v>1.4999999999999999E-2</v>
      </c>
      <c r="E41" s="17">
        <f t="shared" ref="E41:E47" si="1">TRUNC($E$23*D41,2)</f>
        <v>14.47</v>
      </c>
      <c r="F41" s="28"/>
      <c r="H41" s="29"/>
      <c r="J41" s="30"/>
    </row>
    <row r="42" spans="1:10" s="9" customFormat="1">
      <c r="A42" s="21" t="s">
        <v>5</v>
      </c>
      <c r="B42" s="129" t="s">
        <v>125</v>
      </c>
      <c r="C42" s="130"/>
      <c r="D42" s="34">
        <v>0.01</v>
      </c>
      <c r="E42" s="17">
        <f t="shared" si="1"/>
        <v>9.65</v>
      </c>
      <c r="F42" s="28"/>
      <c r="H42" s="35"/>
      <c r="J42" s="36"/>
    </row>
    <row r="43" spans="1:10" s="9" customFormat="1">
      <c r="A43" s="21" t="s">
        <v>7</v>
      </c>
      <c r="B43" s="131" t="s">
        <v>165</v>
      </c>
      <c r="C43" s="130"/>
      <c r="D43" s="110">
        <v>2E-3</v>
      </c>
      <c r="E43" s="17">
        <f t="shared" si="1"/>
        <v>1.93</v>
      </c>
      <c r="F43" s="28"/>
    </row>
    <row r="44" spans="1:10" s="9" customFormat="1">
      <c r="A44" s="21" t="s">
        <v>20</v>
      </c>
      <c r="B44" s="129" t="s">
        <v>126</v>
      </c>
      <c r="C44" s="130"/>
      <c r="D44" s="34">
        <v>2.5000000000000001E-2</v>
      </c>
      <c r="E44" s="17">
        <f t="shared" si="1"/>
        <v>24.13</v>
      </c>
      <c r="F44" s="37"/>
      <c r="H44" s="38"/>
      <c r="I44" s="39"/>
      <c r="J44" s="38"/>
    </row>
    <row r="45" spans="1:10" s="9" customFormat="1">
      <c r="A45" s="21" t="s">
        <v>21</v>
      </c>
      <c r="B45" s="129" t="s">
        <v>129</v>
      </c>
      <c r="C45" s="130"/>
      <c r="D45" s="34">
        <v>0.08</v>
      </c>
      <c r="E45" s="17">
        <f t="shared" si="1"/>
        <v>77.22</v>
      </c>
      <c r="F45" s="28"/>
    </row>
    <row r="46" spans="1:10" s="9" customFormat="1" ht="39.75" customHeight="1">
      <c r="A46" s="21" t="s">
        <v>22</v>
      </c>
      <c r="B46" s="198" t="s">
        <v>169</v>
      </c>
      <c r="C46" s="199"/>
      <c r="D46" s="110">
        <v>0.03</v>
      </c>
      <c r="E46" s="17">
        <f t="shared" si="1"/>
        <v>28.95</v>
      </c>
      <c r="F46" s="28"/>
    </row>
    <row r="47" spans="1:10" s="9" customFormat="1">
      <c r="A47" s="21" t="s">
        <v>34</v>
      </c>
      <c r="B47" s="200" t="s">
        <v>168</v>
      </c>
      <c r="C47" s="201"/>
      <c r="D47" s="110">
        <v>6.0000000000000001E-3</v>
      </c>
      <c r="E47" s="17">
        <f t="shared" si="1"/>
        <v>5.79</v>
      </c>
      <c r="F47" s="28"/>
    </row>
    <row r="48" spans="1:10" s="9" customFormat="1">
      <c r="A48" s="116" t="s">
        <v>35</v>
      </c>
      <c r="B48" s="117"/>
      <c r="C48" s="118"/>
      <c r="D48" s="40">
        <f>SUM(D40:D47)</f>
        <v>0.3680000000000001</v>
      </c>
      <c r="E48" s="18">
        <f>TRUNC(SUM(E40:E47),2)</f>
        <v>355.19</v>
      </c>
    </row>
    <row r="49" spans="1:12" s="9" customFormat="1">
      <c r="A49" s="126" t="s">
        <v>36</v>
      </c>
      <c r="B49" s="127"/>
      <c r="C49" s="127"/>
      <c r="D49" s="127"/>
      <c r="E49" s="128"/>
    </row>
    <row r="50" spans="1:12" s="9" customFormat="1">
      <c r="A50" s="33" t="s">
        <v>37</v>
      </c>
      <c r="B50" s="119" t="s">
        <v>97</v>
      </c>
      <c r="C50" s="120"/>
      <c r="D50" s="121"/>
      <c r="E50" s="5" t="s">
        <v>13</v>
      </c>
    </row>
    <row r="51" spans="1:12" s="9" customFormat="1">
      <c r="A51" s="21" t="s">
        <v>1</v>
      </c>
      <c r="B51" s="129" t="s">
        <v>38</v>
      </c>
      <c r="C51" s="130"/>
      <c r="D51" s="41">
        <f>1/12</f>
        <v>8.3333333333333329E-2</v>
      </c>
      <c r="E51" s="13">
        <f>TRUNC(+$E$23*D51,2)</f>
        <v>80.430000000000007</v>
      </c>
    </row>
    <row r="52" spans="1:12" s="9" customFormat="1">
      <c r="A52" s="116" t="s">
        <v>39</v>
      </c>
      <c r="B52" s="117"/>
      <c r="C52" s="202"/>
      <c r="D52" s="42">
        <f>SUM(D51:D51)</f>
        <v>8.3333333333333329E-2</v>
      </c>
      <c r="E52" s="18">
        <f>SUM(E51:E51)</f>
        <v>80.430000000000007</v>
      </c>
    </row>
    <row r="53" spans="1:12" s="9" customFormat="1">
      <c r="A53" s="21" t="s">
        <v>5</v>
      </c>
      <c r="B53" s="137" t="s">
        <v>40</v>
      </c>
      <c r="C53" s="138"/>
      <c r="D53" s="41">
        <f>+D48</f>
        <v>0.3680000000000001</v>
      </c>
      <c r="E53" s="13">
        <f>TRUNC(+E52*D53,2)</f>
        <v>29.59</v>
      </c>
    </row>
    <row r="54" spans="1:12" s="9" customFormat="1">
      <c r="A54" s="116" t="s">
        <v>35</v>
      </c>
      <c r="B54" s="117"/>
      <c r="C54" s="202"/>
      <c r="D54" s="43"/>
      <c r="E54" s="18">
        <f>+E53+E52</f>
        <v>110.02000000000001</v>
      </c>
    </row>
    <row r="55" spans="1:12" s="9" customFormat="1">
      <c r="A55" s="126" t="s">
        <v>41</v>
      </c>
      <c r="B55" s="127"/>
      <c r="C55" s="127"/>
      <c r="D55" s="127"/>
      <c r="E55" s="128"/>
    </row>
    <row r="56" spans="1:12" s="9" customFormat="1">
      <c r="A56" s="33" t="s">
        <v>42</v>
      </c>
      <c r="B56" s="119" t="s">
        <v>43</v>
      </c>
      <c r="C56" s="120"/>
      <c r="D56" s="121"/>
      <c r="E56" s="5" t="s">
        <v>13</v>
      </c>
    </row>
    <row r="57" spans="1:12" s="9" customFormat="1">
      <c r="A57" s="21" t="s">
        <v>1</v>
      </c>
      <c r="B57" s="137" t="s">
        <v>44</v>
      </c>
      <c r="C57" s="138"/>
      <c r="D57" s="111">
        <f>((38.05%*1.96%*47.81*61%)*3%)/1</f>
        <v>6.5250007493999991E-3</v>
      </c>
      <c r="E57" s="13">
        <f>TRUNC(+D57*$E$23,2)</f>
        <v>6.29</v>
      </c>
      <c r="L57" s="44"/>
    </row>
    <row r="58" spans="1:12" s="9" customFormat="1">
      <c r="A58" s="21" t="s">
        <v>3</v>
      </c>
      <c r="B58" s="137" t="s">
        <v>45</v>
      </c>
      <c r="C58" s="138"/>
      <c r="D58" s="34">
        <f>D48</f>
        <v>0.3680000000000001</v>
      </c>
      <c r="E58" s="13">
        <f>ROUND(+D58*E57,2)</f>
        <v>2.31</v>
      </c>
      <c r="F58" s="45"/>
      <c r="L58" s="44"/>
    </row>
    <row r="59" spans="1:12" s="9" customFormat="1">
      <c r="A59" s="116" t="s">
        <v>35</v>
      </c>
      <c r="B59" s="117"/>
      <c r="C59" s="117"/>
      <c r="D59" s="43"/>
      <c r="E59" s="18">
        <f>SUM(E57:E58)</f>
        <v>8.6</v>
      </c>
      <c r="F59" s="46"/>
      <c r="L59" s="44"/>
    </row>
    <row r="60" spans="1:12" s="9" customFormat="1">
      <c r="A60" s="126" t="s">
        <v>46</v>
      </c>
      <c r="B60" s="127"/>
      <c r="C60" s="127"/>
      <c r="D60" s="127"/>
      <c r="E60" s="128"/>
      <c r="F60" s="47"/>
      <c r="L60" s="44"/>
    </row>
    <row r="61" spans="1:12" s="9" customFormat="1">
      <c r="A61" s="33" t="s">
        <v>47</v>
      </c>
      <c r="B61" s="119" t="s">
        <v>48</v>
      </c>
      <c r="C61" s="120"/>
      <c r="D61" s="121"/>
      <c r="E61" s="5" t="s">
        <v>13</v>
      </c>
      <c r="L61" s="48"/>
    </row>
    <row r="62" spans="1:12" s="9" customFormat="1">
      <c r="A62" s="49" t="s">
        <v>1</v>
      </c>
      <c r="B62" s="135" t="s">
        <v>49</v>
      </c>
      <c r="C62" s="136"/>
      <c r="D62" s="50">
        <f>((1/12)*0.05)</f>
        <v>4.1666666666666666E-3</v>
      </c>
      <c r="E62" s="87">
        <f>TRUNC(+$E$23*D62,2)</f>
        <v>4.0199999999999996</v>
      </c>
      <c r="F62" s="46"/>
    </row>
    <row r="63" spans="1:12" s="9" customFormat="1">
      <c r="A63" s="49" t="s">
        <v>3</v>
      </c>
      <c r="B63" s="135" t="s">
        <v>98</v>
      </c>
      <c r="C63" s="136"/>
      <c r="D63" s="50">
        <f>+D45</f>
        <v>0.08</v>
      </c>
      <c r="E63" s="87">
        <f>TRUNC(+E62*D63,2)</f>
        <v>0.32</v>
      </c>
    </row>
    <row r="64" spans="1:12" s="9" customFormat="1" ht="15" customHeight="1">
      <c r="A64" s="49" t="s">
        <v>5</v>
      </c>
      <c r="B64" s="135" t="s">
        <v>104</v>
      </c>
      <c r="C64" s="136"/>
      <c r="D64" s="50">
        <f>(0.08*0.5*0.05)</f>
        <v>2E-3</v>
      </c>
      <c r="E64" s="87">
        <f>TRUNC(+$E$23*D64,2)</f>
        <v>1.93</v>
      </c>
    </row>
    <row r="65" spans="1:6" s="9" customFormat="1">
      <c r="A65" s="49" t="s">
        <v>7</v>
      </c>
      <c r="B65" s="188" t="s">
        <v>50</v>
      </c>
      <c r="C65" s="189"/>
      <c r="D65" s="50">
        <f>((7/30)/12)</f>
        <v>1.9444444444444445E-2</v>
      </c>
      <c r="E65" s="87">
        <f>TRUNC(+D65*$E$23,2)</f>
        <v>18.760000000000002</v>
      </c>
    </row>
    <row r="66" spans="1:6" s="9" customFormat="1" ht="15" customHeight="1">
      <c r="A66" s="49" t="s">
        <v>20</v>
      </c>
      <c r="B66" s="135" t="s">
        <v>99</v>
      </c>
      <c r="C66" s="136"/>
      <c r="D66" s="50">
        <f>+D48</f>
        <v>0.3680000000000001</v>
      </c>
      <c r="E66" s="87">
        <f>TRUNC(+E65*D66,2)</f>
        <v>6.9</v>
      </c>
    </row>
    <row r="67" spans="1:6" s="9" customFormat="1" ht="15" customHeight="1">
      <c r="A67" s="49" t="s">
        <v>21</v>
      </c>
      <c r="B67" s="135" t="s">
        <v>105</v>
      </c>
      <c r="C67" s="136"/>
      <c r="D67" s="50">
        <f>(0.08*0.5)</f>
        <v>0.04</v>
      </c>
      <c r="E67" s="87">
        <f>TRUNC(+E23*D67,2)</f>
        <v>38.61</v>
      </c>
    </row>
    <row r="68" spans="1:6" s="9" customFormat="1">
      <c r="A68" s="210" t="s">
        <v>35</v>
      </c>
      <c r="B68" s="211"/>
      <c r="C68" s="211"/>
      <c r="D68" s="51"/>
      <c r="E68" s="88">
        <f>SUM(E62:E67)</f>
        <v>70.539999999999992</v>
      </c>
    </row>
    <row r="69" spans="1:6" s="9" customFormat="1">
      <c r="A69" s="126" t="s">
        <v>51</v>
      </c>
      <c r="B69" s="127"/>
      <c r="C69" s="127"/>
      <c r="D69" s="127"/>
      <c r="E69" s="128"/>
    </row>
    <row r="70" spans="1:6" s="9" customFormat="1">
      <c r="A70" s="33" t="s">
        <v>52</v>
      </c>
      <c r="B70" s="207" t="s">
        <v>53</v>
      </c>
      <c r="C70" s="208"/>
      <c r="D70" s="209"/>
      <c r="E70" s="5" t="s">
        <v>13</v>
      </c>
    </row>
    <row r="71" spans="1:6" s="9" customFormat="1" ht="16.5" customHeight="1">
      <c r="A71" s="21" t="s">
        <v>1</v>
      </c>
      <c r="B71" s="137" t="s">
        <v>54</v>
      </c>
      <c r="C71" s="138"/>
      <c r="D71" s="34">
        <f>(((1+1/3)/12))</f>
        <v>0.1111111111111111</v>
      </c>
      <c r="E71" s="13">
        <f t="shared" ref="E71:E76" si="2">TRUNC(+D71*$E$23,2)</f>
        <v>107.25</v>
      </c>
      <c r="F71" s="36"/>
    </row>
    <row r="72" spans="1:6" s="9" customFormat="1">
      <c r="A72" s="21" t="s">
        <v>3</v>
      </c>
      <c r="B72" s="137" t="s">
        <v>55</v>
      </c>
      <c r="C72" s="138"/>
      <c r="D72" s="41">
        <v>1.66E-2</v>
      </c>
      <c r="E72" s="13">
        <f t="shared" si="2"/>
        <v>16.02</v>
      </c>
    </row>
    <row r="73" spans="1:6" s="9" customFormat="1">
      <c r="A73" s="21" t="s">
        <v>5</v>
      </c>
      <c r="B73" s="137" t="s">
        <v>56</v>
      </c>
      <c r="C73" s="138"/>
      <c r="D73" s="41">
        <v>2.0000000000000001E-4</v>
      </c>
      <c r="E73" s="13">
        <f t="shared" si="2"/>
        <v>0.19</v>
      </c>
      <c r="F73" s="52"/>
    </row>
    <row r="74" spans="1:6" s="9" customFormat="1">
      <c r="A74" s="21" t="s">
        <v>7</v>
      </c>
      <c r="B74" s="139" t="s">
        <v>57</v>
      </c>
      <c r="C74" s="140"/>
      <c r="D74" s="34">
        <v>2.8E-3</v>
      </c>
      <c r="E74" s="13">
        <f t="shared" si="2"/>
        <v>2.7</v>
      </c>
    </row>
    <row r="75" spans="1:6" s="9" customFormat="1">
      <c r="A75" s="21" t="s">
        <v>20</v>
      </c>
      <c r="B75" s="137" t="s">
        <v>58</v>
      </c>
      <c r="C75" s="138"/>
      <c r="D75" s="112">
        <v>2.9999999999999997E-4</v>
      </c>
      <c r="E75" s="13">
        <f t="shared" si="2"/>
        <v>0.28000000000000003</v>
      </c>
    </row>
    <row r="76" spans="1:6" s="9" customFormat="1">
      <c r="A76" s="21" t="s">
        <v>21</v>
      </c>
      <c r="B76" s="137" t="s">
        <v>23</v>
      </c>
      <c r="C76" s="138"/>
      <c r="D76" s="34">
        <v>0</v>
      </c>
      <c r="E76" s="13">
        <f t="shared" si="2"/>
        <v>0</v>
      </c>
      <c r="F76" s="52"/>
    </row>
    <row r="77" spans="1:6" s="9" customFormat="1">
      <c r="A77" s="116" t="s">
        <v>39</v>
      </c>
      <c r="B77" s="117"/>
      <c r="C77" s="118"/>
      <c r="D77" s="40"/>
      <c r="E77" s="18">
        <f>SUM(E71:E76)</f>
        <v>126.44</v>
      </c>
    </row>
    <row r="78" spans="1:6" s="9" customFormat="1" ht="30">
      <c r="A78" s="21" t="s">
        <v>22</v>
      </c>
      <c r="B78" s="16" t="s">
        <v>59</v>
      </c>
      <c r="C78" s="53"/>
      <c r="D78" s="41">
        <f>+D48</f>
        <v>0.3680000000000001</v>
      </c>
      <c r="E78" s="13">
        <f>TRUNC(+E77*D78,2)</f>
        <v>46.52</v>
      </c>
      <c r="F78" s="52"/>
    </row>
    <row r="79" spans="1:6" s="9" customFormat="1">
      <c r="A79" s="116" t="s">
        <v>35</v>
      </c>
      <c r="B79" s="117"/>
      <c r="C79" s="202"/>
      <c r="D79" s="54"/>
      <c r="E79" s="18">
        <f>SUM(E77:E78)</f>
        <v>172.96</v>
      </c>
    </row>
    <row r="80" spans="1:6" s="9" customFormat="1">
      <c r="A80" s="183" t="s">
        <v>60</v>
      </c>
      <c r="B80" s="184"/>
      <c r="C80" s="184"/>
      <c r="D80" s="184"/>
      <c r="E80" s="185"/>
    </row>
    <row r="81" spans="1:5" s="9" customFormat="1">
      <c r="A81" s="10">
        <v>4</v>
      </c>
      <c r="B81" s="119" t="s">
        <v>61</v>
      </c>
      <c r="C81" s="120"/>
      <c r="D81" s="121"/>
      <c r="E81" s="5" t="s">
        <v>13</v>
      </c>
    </row>
    <row r="82" spans="1:5" s="9" customFormat="1" ht="30" customHeight="1">
      <c r="A82" s="21" t="s">
        <v>32</v>
      </c>
      <c r="B82" s="132" t="s">
        <v>62</v>
      </c>
      <c r="C82" s="133"/>
      <c r="D82" s="134"/>
      <c r="E82" s="13">
        <f>+E48</f>
        <v>355.19</v>
      </c>
    </row>
    <row r="83" spans="1:5" s="9" customFormat="1">
      <c r="A83" s="21" t="s">
        <v>37</v>
      </c>
      <c r="B83" s="132" t="s">
        <v>63</v>
      </c>
      <c r="C83" s="133"/>
      <c r="D83" s="134"/>
      <c r="E83" s="13">
        <f>+E54</f>
        <v>110.02000000000001</v>
      </c>
    </row>
    <row r="84" spans="1:5" s="9" customFormat="1">
      <c r="A84" s="21" t="s">
        <v>42</v>
      </c>
      <c r="B84" s="132" t="s">
        <v>44</v>
      </c>
      <c r="C84" s="133"/>
      <c r="D84" s="134"/>
      <c r="E84" s="13">
        <f>+E59</f>
        <v>8.6</v>
      </c>
    </row>
    <row r="85" spans="1:5" s="9" customFormat="1">
      <c r="A85" s="21" t="s">
        <v>47</v>
      </c>
      <c r="B85" s="132" t="s">
        <v>64</v>
      </c>
      <c r="C85" s="133"/>
      <c r="D85" s="134"/>
      <c r="E85" s="13">
        <f>E68</f>
        <v>70.539999999999992</v>
      </c>
    </row>
    <row r="86" spans="1:5" s="9" customFormat="1">
      <c r="A86" s="21" t="s">
        <v>52</v>
      </c>
      <c r="B86" s="132" t="s">
        <v>65</v>
      </c>
      <c r="C86" s="133"/>
      <c r="D86" s="134"/>
      <c r="E86" s="13">
        <f>+E79</f>
        <v>172.96</v>
      </c>
    </row>
    <row r="87" spans="1:5" s="9" customFormat="1">
      <c r="A87" s="21" t="s">
        <v>66</v>
      </c>
      <c r="B87" s="132" t="s">
        <v>23</v>
      </c>
      <c r="C87" s="133"/>
      <c r="D87" s="134"/>
      <c r="E87" s="13">
        <f t="shared" ref="E87" si="3">+$E$23*D87</f>
        <v>0</v>
      </c>
    </row>
    <row r="88" spans="1:5" s="19" customFormat="1" ht="15" customHeight="1">
      <c r="A88" s="186" t="s">
        <v>67</v>
      </c>
      <c r="B88" s="187"/>
      <c r="C88" s="187"/>
      <c r="D88" s="190"/>
      <c r="E88" s="18">
        <f>SUM(E82:E87)</f>
        <v>717.31000000000006</v>
      </c>
    </row>
    <row r="89" spans="1:5" s="19" customFormat="1" ht="29.25" customHeight="1">
      <c r="A89" s="186" t="s">
        <v>68</v>
      </c>
      <c r="B89" s="187"/>
      <c r="C89" s="187"/>
      <c r="D89" s="55"/>
      <c r="E89" s="18">
        <f>+E23+E31+E36+E88</f>
        <v>2002.87</v>
      </c>
    </row>
    <row r="90" spans="1:5" s="9" customFormat="1">
      <c r="A90" s="126" t="s">
        <v>69</v>
      </c>
      <c r="B90" s="127"/>
      <c r="C90" s="127" t="s">
        <v>70</v>
      </c>
      <c r="D90" s="128" t="s">
        <v>71</v>
      </c>
      <c r="E90" s="8"/>
    </row>
    <row r="91" spans="1:5" s="9" customFormat="1">
      <c r="A91" s="10">
        <v>5</v>
      </c>
      <c r="B91" s="119" t="s">
        <v>72</v>
      </c>
      <c r="C91" s="120"/>
      <c r="D91" s="121"/>
      <c r="E91" s="56" t="s">
        <v>13</v>
      </c>
    </row>
    <row r="92" spans="1:5" s="9" customFormat="1">
      <c r="A92" s="108" t="s">
        <v>1</v>
      </c>
      <c r="B92" s="57" t="s">
        <v>73</v>
      </c>
      <c r="C92" s="194">
        <v>0</v>
      </c>
      <c r="D92" s="195"/>
      <c r="E92" s="13">
        <f>+E89*C92</f>
        <v>0</v>
      </c>
    </row>
    <row r="93" spans="1:5" s="9" customFormat="1">
      <c r="A93" s="108" t="s">
        <v>3</v>
      </c>
      <c r="B93" s="57" t="s">
        <v>74</v>
      </c>
      <c r="C93" s="194">
        <v>0</v>
      </c>
      <c r="D93" s="195"/>
      <c r="E93" s="13">
        <f>C93*(+E89+E92)</f>
        <v>0</v>
      </c>
    </row>
    <row r="94" spans="1:5" s="9" customFormat="1" ht="27" customHeight="1">
      <c r="A94" s="196" t="s">
        <v>5</v>
      </c>
      <c r="B94" s="215" t="s">
        <v>94</v>
      </c>
      <c r="C94" s="216"/>
      <c r="D94" s="25">
        <f>+(100-8.65)/100</f>
        <v>0.91349999999999998</v>
      </c>
      <c r="E94" s="17">
        <f>+E89+E92+E93</f>
        <v>2002.87</v>
      </c>
    </row>
    <row r="95" spans="1:5" s="9" customFormat="1">
      <c r="A95" s="196"/>
      <c r="B95" s="109" t="s">
        <v>75</v>
      </c>
      <c r="E95" s="89">
        <f>+E94/D94</f>
        <v>2192.5232621784344</v>
      </c>
    </row>
    <row r="96" spans="1:5" s="9" customFormat="1">
      <c r="A96" s="196"/>
      <c r="B96" s="58" t="s">
        <v>76</v>
      </c>
      <c r="C96" s="59"/>
      <c r="D96" s="60"/>
      <c r="E96" s="13"/>
    </row>
    <row r="97" spans="1:6" s="9" customFormat="1">
      <c r="A97" s="196"/>
      <c r="B97" s="61" t="s">
        <v>101</v>
      </c>
      <c r="C97" s="62"/>
      <c r="D97" s="78">
        <v>6.4999999999999997E-3</v>
      </c>
      <c r="E97" s="13">
        <f>+E95*D97</f>
        <v>14.251401204159823</v>
      </c>
      <c r="F97" s="52"/>
    </row>
    <row r="98" spans="1:6" s="9" customFormat="1">
      <c r="A98" s="196"/>
      <c r="B98" s="61" t="s">
        <v>102</v>
      </c>
      <c r="C98" s="62"/>
      <c r="D98" s="78">
        <v>0.03</v>
      </c>
      <c r="E98" s="13">
        <f>+E95*D98</f>
        <v>65.775697865353024</v>
      </c>
    </row>
    <row r="99" spans="1:6" s="9" customFormat="1">
      <c r="A99" s="196"/>
      <c r="B99" s="63" t="s">
        <v>77</v>
      </c>
      <c r="C99" s="64"/>
      <c r="D99" s="65"/>
      <c r="E99" s="13"/>
    </row>
    <row r="100" spans="1:6" s="9" customFormat="1">
      <c r="A100" s="196"/>
      <c r="B100" s="63" t="s">
        <v>78</v>
      </c>
      <c r="C100" s="64"/>
      <c r="D100" s="66"/>
      <c r="E100" s="13"/>
    </row>
    <row r="101" spans="1:6" s="9" customFormat="1" ht="15.75" thickBot="1">
      <c r="A101" s="197"/>
      <c r="B101" s="67" t="s">
        <v>103</v>
      </c>
      <c r="C101" s="68"/>
      <c r="D101" s="79">
        <v>0.05</v>
      </c>
      <c r="E101" s="90">
        <f>+E95*D101</f>
        <v>109.62616310892173</v>
      </c>
    </row>
    <row r="102" spans="1:6" s="9" customFormat="1" ht="15.75" thickBot="1">
      <c r="A102" s="69"/>
      <c r="B102" s="70" t="s">
        <v>79</v>
      </c>
      <c r="C102" s="70"/>
      <c r="D102" s="71">
        <f>SUM(D97:D101)</f>
        <v>8.6499999999999994E-2</v>
      </c>
      <c r="E102" s="91">
        <f>SUM(E97:E101)</f>
        <v>189.65326217843457</v>
      </c>
    </row>
    <row r="103" spans="1:6" s="19" customFormat="1">
      <c r="A103" s="191" t="s">
        <v>80</v>
      </c>
      <c r="B103" s="192"/>
      <c r="C103" s="192"/>
      <c r="D103" s="193"/>
      <c r="E103" s="92">
        <f>+E92+E93+E102</f>
        <v>189.65326217843457</v>
      </c>
    </row>
    <row r="104" spans="1:6" s="9" customFormat="1">
      <c r="A104" s="186" t="s">
        <v>81</v>
      </c>
      <c r="B104" s="187"/>
      <c r="C104" s="187"/>
      <c r="D104" s="190"/>
      <c r="E104" s="72" t="s">
        <v>13</v>
      </c>
    </row>
    <row r="105" spans="1:6" s="9" customFormat="1">
      <c r="A105" s="108" t="s">
        <v>1</v>
      </c>
      <c r="B105" s="212" t="s">
        <v>82</v>
      </c>
      <c r="C105" s="213"/>
      <c r="D105" s="214"/>
      <c r="E105" s="13">
        <f>+E23</f>
        <v>965.25</v>
      </c>
    </row>
    <row r="106" spans="1:6" s="9" customFormat="1">
      <c r="A106" s="108" t="s">
        <v>3</v>
      </c>
      <c r="B106" s="212" t="s">
        <v>83</v>
      </c>
      <c r="C106" s="213"/>
      <c r="D106" s="214"/>
      <c r="E106" s="13">
        <f>+E31</f>
        <v>320.31</v>
      </c>
    </row>
    <row r="107" spans="1:6" s="9" customFormat="1">
      <c r="A107" s="108" t="s">
        <v>5</v>
      </c>
      <c r="B107" s="212" t="s">
        <v>84</v>
      </c>
      <c r="C107" s="213"/>
      <c r="D107" s="214"/>
      <c r="E107" s="13">
        <f>+E36</f>
        <v>0</v>
      </c>
    </row>
    <row r="108" spans="1:6" s="9" customFormat="1">
      <c r="A108" s="108" t="s">
        <v>7</v>
      </c>
      <c r="B108" s="212" t="s">
        <v>85</v>
      </c>
      <c r="C108" s="213"/>
      <c r="D108" s="214"/>
      <c r="E108" s="13">
        <f>+E88</f>
        <v>717.31000000000006</v>
      </c>
    </row>
    <row r="109" spans="1:6" s="9" customFormat="1">
      <c r="A109" s="116" t="s">
        <v>86</v>
      </c>
      <c r="B109" s="117"/>
      <c r="C109" s="202"/>
      <c r="D109" s="73"/>
      <c r="E109" s="18">
        <f>SUM(E105:E108)</f>
        <v>2002.87</v>
      </c>
    </row>
    <row r="110" spans="1:6" s="9" customFormat="1">
      <c r="A110" s="108" t="s">
        <v>20</v>
      </c>
      <c r="B110" s="212" t="s">
        <v>87</v>
      </c>
      <c r="C110" s="213"/>
      <c r="D110" s="214"/>
      <c r="E110" s="13">
        <f>+E103</f>
        <v>189.65326217843457</v>
      </c>
    </row>
    <row r="111" spans="1:6" s="19" customFormat="1" ht="15.75">
      <c r="A111" s="204" t="s">
        <v>88</v>
      </c>
      <c r="B111" s="205"/>
      <c r="C111" s="205"/>
      <c r="D111" s="206"/>
      <c r="E111" s="93">
        <f>+E109+E110</f>
        <v>2192.5232621784344</v>
      </c>
    </row>
    <row r="112" spans="1:6">
      <c r="A112" s="74" t="s">
        <v>89</v>
      </c>
      <c r="E112" s="77">
        <f>+E111/E105</f>
        <v>2.2714563710732292</v>
      </c>
    </row>
  </sheetData>
  <sheetProtection password="CAC1" sheet="1" objects="1" scenarios="1"/>
  <mergeCells count="97">
    <mergeCell ref="A111:D111"/>
    <mergeCell ref="C93:D93"/>
    <mergeCell ref="A94:A101"/>
    <mergeCell ref="B94:C94"/>
    <mergeCell ref="A103:D103"/>
    <mergeCell ref="A104:D104"/>
    <mergeCell ref="B105:D105"/>
    <mergeCell ref="B106:D106"/>
    <mergeCell ref="B107:D107"/>
    <mergeCell ref="B108:D108"/>
    <mergeCell ref="A109:C109"/>
    <mergeCell ref="B110:D110"/>
    <mergeCell ref="C92:D92"/>
    <mergeCell ref="B81:D81"/>
    <mergeCell ref="B82:D82"/>
    <mergeCell ref="B83:D83"/>
    <mergeCell ref="B84:D84"/>
    <mergeCell ref="B85:D85"/>
    <mergeCell ref="B86:D86"/>
    <mergeCell ref="B87:D87"/>
    <mergeCell ref="A88:D88"/>
    <mergeCell ref="A89:C89"/>
    <mergeCell ref="A90:D90"/>
    <mergeCell ref="B91:D91"/>
    <mergeCell ref="A80:E80"/>
    <mergeCell ref="A68:C68"/>
    <mergeCell ref="A69:E69"/>
    <mergeCell ref="B70:D70"/>
    <mergeCell ref="B71:C71"/>
    <mergeCell ref="B72:C72"/>
    <mergeCell ref="B73:C73"/>
    <mergeCell ref="B74:C74"/>
    <mergeCell ref="B75:C75"/>
    <mergeCell ref="B76:C76"/>
    <mergeCell ref="A77:C77"/>
    <mergeCell ref="A79:C79"/>
    <mergeCell ref="B67:C67"/>
    <mergeCell ref="B56:D56"/>
    <mergeCell ref="B57:C57"/>
    <mergeCell ref="B58:C58"/>
    <mergeCell ref="A59:C59"/>
    <mergeCell ref="A60:E60"/>
    <mergeCell ref="B61:D61"/>
    <mergeCell ref="B62:C62"/>
    <mergeCell ref="B63:C63"/>
    <mergeCell ref="B64:C64"/>
    <mergeCell ref="B65:C65"/>
    <mergeCell ref="B66:C66"/>
    <mergeCell ref="A55:E55"/>
    <mergeCell ref="B44:C44"/>
    <mergeCell ref="B45:C45"/>
    <mergeCell ref="B46:C46"/>
    <mergeCell ref="B47:C47"/>
    <mergeCell ref="A48:C48"/>
    <mergeCell ref="A49:E49"/>
    <mergeCell ref="B50:D50"/>
    <mergeCell ref="B51:C51"/>
    <mergeCell ref="A52:C52"/>
    <mergeCell ref="B53:C53"/>
    <mergeCell ref="A54:C54"/>
    <mergeCell ref="B43:C43"/>
    <mergeCell ref="A23:D23"/>
    <mergeCell ref="A24:D24"/>
    <mergeCell ref="A31:D31"/>
    <mergeCell ref="A32:E32"/>
    <mergeCell ref="A36:D36"/>
    <mergeCell ref="A37:E37"/>
    <mergeCell ref="A38:E38"/>
    <mergeCell ref="B39:C39"/>
    <mergeCell ref="B40:C40"/>
    <mergeCell ref="B41:C41"/>
    <mergeCell ref="B42:C42"/>
    <mergeCell ref="C22:D22"/>
    <mergeCell ref="C16:E16"/>
    <mergeCell ref="C17:E17"/>
    <mergeCell ref="C18:E18"/>
    <mergeCell ref="A19:D19"/>
    <mergeCell ref="B20:D20"/>
    <mergeCell ref="C21:D21"/>
    <mergeCell ref="A14:D14"/>
    <mergeCell ref="C15:E15"/>
    <mergeCell ref="C6:E6"/>
    <mergeCell ref="C7:E7"/>
    <mergeCell ref="C8:E8"/>
    <mergeCell ref="A9:E9"/>
    <mergeCell ref="A10:B10"/>
    <mergeCell ref="C10:E10"/>
    <mergeCell ref="C5:E5"/>
    <mergeCell ref="A11:B11"/>
    <mergeCell ref="C11:E11"/>
    <mergeCell ref="A12:E12"/>
    <mergeCell ref="A13:E13"/>
    <mergeCell ref="A2:C2"/>
    <mergeCell ref="D2:E2"/>
    <mergeCell ref="A3:C3"/>
    <mergeCell ref="D3:E3"/>
    <mergeCell ref="A4:E4"/>
  </mergeCells>
  <printOptions horizontalCentered="1"/>
  <pageMargins left="3.937007874015748E-2" right="3.937007874015748E-2" top="0.15748031496062992" bottom="0.15748031496062992" header="0.31496062992125984" footer="0"/>
  <pageSetup paperSize="9" scale="58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12"/>
  <sheetViews>
    <sheetView showGridLines="0" zoomScale="90" zoomScaleNormal="90" zoomScaleSheetLayoutView="145" zoomScalePageLayoutView="55" workbookViewId="0">
      <pane xSplit="1" topLeftCell="B1" activePane="topRight" state="frozen"/>
      <selection activeCell="A10" sqref="A10"/>
      <selection pane="topRight" sqref="A1:XFD1048576"/>
    </sheetView>
  </sheetViews>
  <sheetFormatPr defaultRowHeight="15"/>
  <cols>
    <col min="1" max="1" width="9.140625" style="74" customWidth="1"/>
    <col min="2" max="2" width="45.7109375" style="75" bestFit="1" customWidth="1"/>
    <col min="3" max="3" width="24.28515625" style="75" customWidth="1"/>
    <col min="4" max="4" width="14.5703125" style="76" customWidth="1"/>
    <col min="5" max="5" width="16.28515625" style="77" customWidth="1"/>
    <col min="6" max="6" width="31.85546875" style="1" customWidth="1"/>
    <col min="7" max="7" width="5.5703125" style="1" customWidth="1"/>
    <col min="8" max="8" width="11.140625" style="1" hidden="1" customWidth="1"/>
    <col min="9" max="9" width="22" style="1" customWidth="1"/>
    <col min="10" max="16384" width="9.140625" style="1"/>
  </cols>
  <sheetData>
    <row r="2" spans="1:5" ht="15" customHeight="1">
      <c r="A2" s="141" t="s">
        <v>90</v>
      </c>
      <c r="B2" s="142"/>
      <c r="C2" s="143"/>
      <c r="D2" s="144"/>
      <c r="E2" s="145"/>
    </row>
    <row r="3" spans="1:5" ht="15" customHeight="1">
      <c r="A3" s="141" t="s">
        <v>91</v>
      </c>
      <c r="B3" s="142"/>
      <c r="C3" s="143"/>
      <c r="D3" s="217"/>
      <c r="E3" s="145"/>
    </row>
    <row r="4" spans="1:5" s="2" customFormat="1">
      <c r="A4" s="150" t="s">
        <v>0</v>
      </c>
      <c r="B4" s="151"/>
      <c r="C4" s="151"/>
      <c r="D4" s="151"/>
      <c r="E4" s="152"/>
    </row>
    <row r="5" spans="1:5">
      <c r="A5" s="3" t="s">
        <v>1</v>
      </c>
      <c r="B5" s="4" t="s">
        <v>2</v>
      </c>
      <c r="C5" s="153">
        <v>42583</v>
      </c>
      <c r="D5" s="154"/>
      <c r="E5" s="155"/>
    </row>
    <row r="6" spans="1:5">
      <c r="A6" s="3" t="s">
        <v>3</v>
      </c>
      <c r="B6" s="4" t="s">
        <v>4</v>
      </c>
      <c r="C6" s="156" t="s">
        <v>144</v>
      </c>
      <c r="D6" s="157"/>
      <c r="E6" s="158"/>
    </row>
    <row r="7" spans="1:5" ht="30">
      <c r="A7" s="3" t="s">
        <v>5</v>
      </c>
      <c r="B7" s="4" t="s">
        <v>6</v>
      </c>
      <c r="C7" s="153" t="str">
        <f>'Recife SEDE'!C7:E7</f>
        <v>2016/2016 - Registro no MTE: PE000143/2016</v>
      </c>
      <c r="D7" s="154"/>
      <c r="E7" s="155"/>
    </row>
    <row r="8" spans="1:5">
      <c r="A8" s="3" t="s">
        <v>7</v>
      </c>
      <c r="B8" s="4" t="s">
        <v>92</v>
      </c>
      <c r="C8" s="156" t="s">
        <v>96</v>
      </c>
      <c r="D8" s="157"/>
      <c r="E8" s="158"/>
    </row>
    <row r="9" spans="1:5" s="2" customFormat="1">
      <c r="A9" s="159" t="s">
        <v>8</v>
      </c>
      <c r="B9" s="160"/>
      <c r="C9" s="160"/>
      <c r="D9" s="160"/>
      <c r="E9" s="161"/>
    </row>
    <row r="10" spans="1:5" ht="15" customHeight="1">
      <c r="A10" s="162" t="s">
        <v>9</v>
      </c>
      <c r="B10" s="163"/>
      <c r="C10" s="147" t="s">
        <v>109</v>
      </c>
      <c r="D10" s="148"/>
      <c r="E10" s="149"/>
    </row>
    <row r="11" spans="1:5">
      <c r="A11" s="154" t="s">
        <v>140</v>
      </c>
      <c r="B11" s="155"/>
      <c r="C11" s="164">
        <v>1</v>
      </c>
      <c r="D11" s="164"/>
      <c r="E11" s="164"/>
    </row>
    <row r="12" spans="1:5" s="2" customFormat="1">
      <c r="A12" s="165" t="s">
        <v>10</v>
      </c>
      <c r="B12" s="166"/>
      <c r="C12" s="166"/>
      <c r="D12" s="166"/>
      <c r="E12" s="167"/>
    </row>
    <row r="13" spans="1:5" s="2" customFormat="1">
      <c r="A13" s="168" t="s">
        <v>11</v>
      </c>
      <c r="B13" s="169"/>
      <c r="C13" s="169"/>
      <c r="D13" s="169"/>
      <c r="E13" s="170"/>
    </row>
    <row r="14" spans="1:5" ht="15" customHeight="1">
      <c r="A14" s="174" t="s">
        <v>12</v>
      </c>
      <c r="B14" s="175"/>
      <c r="C14" s="175"/>
      <c r="D14" s="176"/>
      <c r="E14" s="5" t="s">
        <v>13</v>
      </c>
    </row>
    <row r="15" spans="1:5" ht="30">
      <c r="A15" s="3">
        <v>1</v>
      </c>
      <c r="B15" s="6" t="s">
        <v>93</v>
      </c>
      <c r="C15" s="177" t="s">
        <v>140</v>
      </c>
      <c r="D15" s="178"/>
      <c r="E15" s="179"/>
    </row>
    <row r="16" spans="1:5">
      <c r="A16" s="3">
        <v>2</v>
      </c>
      <c r="B16" s="6" t="s">
        <v>14</v>
      </c>
      <c r="C16" s="171">
        <v>965.25</v>
      </c>
      <c r="D16" s="172"/>
      <c r="E16" s="173"/>
    </row>
    <row r="17" spans="1:9" ht="30">
      <c r="A17" s="3">
        <v>3</v>
      </c>
      <c r="B17" s="6" t="s">
        <v>15</v>
      </c>
      <c r="C17" s="177" t="s">
        <v>140</v>
      </c>
      <c r="D17" s="178"/>
      <c r="E17" s="179"/>
    </row>
    <row r="18" spans="1:9">
      <c r="A18" s="3">
        <v>4</v>
      </c>
      <c r="B18" s="7" t="s">
        <v>16</v>
      </c>
      <c r="C18" s="180" t="s">
        <v>108</v>
      </c>
      <c r="D18" s="181"/>
      <c r="E18" s="182"/>
    </row>
    <row r="19" spans="1:9" s="9" customFormat="1">
      <c r="A19" s="183" t="s">
        <v>17</v>
      </c>
      <c r="B19" s="184"/>
      <c r="C19" s="184"/>
      <c r="D19" s="185"/>
      <c r="E19" s="8"/>
    </row>
    <row r="20" spans="1:9" s="9" customFormat="1">
      <c r="A20" s="10">
        <v>1</v>
      </c>
      <c r="B20" s="119" t="s">
        <v>18</v>
      </c>
      <c r="C20" s="120"/>
      <c r="D20" s="121"/>
      <c r="E20" s="5" t="s">
        <v>13</v>
      </c>
    </row>
    <row r="21" spans="1:9">
      <c r="A21" s="11" t="s">
        <v>1</v>
      </c>
      <c r="B21" s="12" t="s">
        <v>19</v>
      </c>
      <c r="C21" s="122"/>
      <c r="D21" s="123"/>
      <c r="E21" s="13">
        <f>+C16</f>
        <v>965.25</v>
      </c>
      <c r="H21" s="1">
        <f>+$E$21*2</f>
        <v>1930.5</v>
      </c>
    </row>
    <row r="22" spans="1:9">
      <c r="A22" s="11" t="s">
        <v>3</v>
      </c>
      <c r="B22" s="16" t="s">
        <v>23</v>
      </c>
      <c r="C22" s="124"/>
      <c r="D22" s="125"/>
      <c r="E22" s="14">
        <f>C22*$C$16</f>
        <v>0</v>
      </c>
      <c r="F22" s="15"/>
      <c r="H22" s="1">
        <f t="shared" ref="H22" si="0">+$E$21*2</f>
        <v>1930.5</v>
      </c>
    </row>
    <row r="23" spans="1:9" s="19" customFormat="1" ht="15" customHeight="1">
      <c r="A23" s="113" t="s">
        <v>24</v>
      </c>
      <c r="B23" s="114"/>
      <c r="C23" s="114"/>
      <c r="D23" s="115"/>
      <c r="E23" s="18">
        <f>TRUNC(SUM(E21:E22),2)</f>
        <v>965.25</v>
      </c>
      <c r="F23" s="15"/>
    </row>
    <row r="24" spans="1:9" s="9" customFormat="1">
      <c r="A24" s="126" t="s">
        <v>95</v>
      </c>
      <c r="B24" s="127"/>
      <c r="C24" s="127"/>
      <c r="D24" s="128"/>
      <c r="E24" s="8"/>
      <c r="F24" s="15"/>
    </row>
    <row r="25" spans="1:9">
      <c r="A25" s="10">
        <v>2</v>
      </c>
      <c r="B25" s="20" t="s">
        <v>25</v>
      </c>
      <c r="C25" s="20" t="s">
        <v>110</v>
      </c>
      <c r="D25" s="20" t="s">
        <v>111</v>
      </c>
      <c r="E25" s="5" t="s">
        <v>13</v>
      </c>
      <c r="F25" s="15"/>
    </row>
    <row r="26" spans="1:9">
      <c r="A26" s="21" t="s">
        <v>1</v>
      </c>
      <c r="B26" s="16" t="s">
        <v>100</v>
      </c>
      <c r="C26" s="3">
        <v>44</v>
      </c>
      <c r="D26" s="100">
        <v>2.8</v>
      </c>
      <c r="E26" s="22">
        <f>+TRUNC((C26*D26)-(C16*0.06),2)</f>
        <v>65.28</v>
      </c>
      <c r="F26" s="15"/>
      <c r="I26" s="15"/>
    </row>
    <row r="27" spans="1:9">
      <c r="A27" s="21" t="s">
        <v>3</v>
      </c>
      <c r="B27" s="16" t="s">
        <v>133</v>
      </c>
      <c r="C27" s="3">
        <v>22</v>
      </c>
      <c r="D27" s="85">
        <v>6.66</v>
      </c>
      <c r="E27" s="22">
        <f>TRUNC((C27*D27)*0.8,2)</f>
        <v>117.21</v>
      </c>
      <c r="F27" s="23"/>
      <c r="I27" s="15"/>
    </row>
    <row r="28" spans="1:9">
      <c r="A28" s="21" t="s">
        <v>5</v>
      </c>
      <c r="B28" s="16" t="s">
        <v>132</v>
      </c>
      <c r="C28" s="3">
        <v>1</v>
      </c>
      <c r="D28" s="85">
        <v>100</v>
      </c>
      <c r="E28" s="22">
        <f>TRUNC((C28*D28),2)</f>
        <v>100</v>
      </c>
      <c r="F28" s="15"/>
      <c r="I28" s="15"/>
    </row>
    <row r="29" spans="1:9">
      <c r="A29" s="21" t="s">
        <v>7</v>
      </c>
      <c r="B29" s="16" t="s">
        <v>134</v>
      </c>
      <c r="C29" s="3">
        <v>1</v>
      </c>
      <c r="D29" s="85">
        <v>37.82</v>
      </c>
      <c r="E29" s="22">
        <f>TRUNC((C29*D29),2)</f>
        <v>37.82</v>
      </c>
      <c r="I29" s="15"/>
    </row>
    <row r="30" spans="1:9">
      <c r="A30" s="21" t="s">
        <v>20</v>
      </c>
      <c r="B30" s="16" t="s">
        <v>106</v>
      </c>
      <c r="C30" s="3">
        <v>0</v>
      </c>
      <c r="D30" s="85">
        <v>0</v>
      </c>
      <c r="E30" s="22">
        <f>TRUNC((C30*D30),2)</f>
        <v>0</v>
      </c>
      <c r="I30" s="15"/>
    </row>
    <row r="31" spans="1:9" s="19" customFormat="1" ht="15" customHeight="1">
      <c r="A31" s="113" t="s">
        <v>26</v>
      </c>
      <c r="B31" s="114"/>
      <c r="C31" s="114"/>
      <c r="D31" s="115"/>
      <c r="E31" s="18">
        <f>SUM(E26:E30)</f>
        <v>320.31</v>
      </c>
    </row>
    <row r="32" spans="1:9" s="9" customFormat="1">
      <c r="A32" s="126" t="s">
        <v>27</v>
      </c>
      <c r="B32" s="127"/>
      <c r="C32" s="127"/>
      <c r="D32" s="127"/>
      <c r="E32" s="128"/>
    </row>
    <row r="33" spans="1:10" s="9" customFormat="1">
      <c r="A33" s="10">
        <v>3</v>
      </c>
      <c r="B33" s="20" t="s">
        <v>28</v>
      </c>
      <c r="C33" s="20" t="s">
        <v>110</v>
      </c>
      <c r="D33" s="20" t="s">
        <v>111</v>
      </c>
      <c r="E33" s="5" t="s">
        <v>13</v>
      </c>
    </row>
    <row r="34" spans="1:10" s="9" customFormat="1">
      <c r="A34" s="21" t="s">
        <v>1</v>
      </c>
      <c r="B34" s="16" t="s">
        <v>167</v>
      </c>
      <c r="C34" s="24">
        <v>1</v>
      </c>
      <c r="D34" s="13">
        <f>Uniforme!G12</f>
        <v>0</v>
      </c>
      <c r="E34" s="13">
        <f>TRUNC((C34*D34),2)</f>
        <v>0</v>
      </c>
      <c r="F34" s="26"/>
    </row>
    <row r="35" spans="1:10" s="9" customFormat="1">
      <c r="A35" s="21" t="s">
        <v>3</v>
      </c>
      <c r="B35" s="16" t="s">
        <v>107</v>
      </c>
      <c r="C35" s="27">
        <v>0</v>
      </c>
      <c r="D35" s="86">
        <v>0</v>
      </c>
      <c r="E35" s="13">
        <f>TRUNC((C35*D35),2)</f>
        <v>0</v>
      </c>
    </row>
    <row r="36" spans="1:10" s="19" customFormat="1" ht="15" customHeight="1">
      <c r="A36" s="113" t="s">
        <v>29</v>
      </c>
      <c r="B36" s="114"/>
      <c r="C36" s="114"/>
      <c r="D36" s="115"/>
      <c r="E36" s="18">
        <f>SUM(E34:E35)</f>
        <v>0</v>
      </c>
      <c r="F36" s="28"/>
      <c r="H36" s="32"/>
      <c r="J36" s="30"/>
    </row>
    <row r="37" spans="1:10" s="9" customFormat="1">
      <c r="A37" s="126" t="s">
        <v>30</v>
      </c>
      <c r="B37" s="127"/>
      <c r="C37" s="127"/>
      <c r="D37" s="127"/>
      <c r="E37" s="128"/>
      <c r="F37" s="28"/>
      <c r="H37" s="29"/>
      <c r="J37" s="30"/>
    </row>
    <row r="38" spans="1:10" s="9" customFormat="1">
      <c r="A38" s="126" t="s">
        <v>31</v>
      </c>
      <c r="B38" s="127"/>
      <c r="C38" s="127"/>
      <c r="D38" s="127"/>
      <c r="E38" s="128"/>
      <c r="F38" s="28"/>
      <c r="H38" s="29"/>
      <c r="J38" s="30"/>
    </row>
    <row r="39" spans="1:10" s="9" customFormat="1">
      <c r="A39" s="33" t="s">
        <v>32</v>
      </c>
      <c r="B39" s="119" t="s">
        <v>33</v>
      </c>
      <c r="C39" s="203"/>
      <c r="D39" s="20" t="s">
        <v>130</v>
      </c>
      <c r="E39" s="5" t="s">
        <v>13</v>
      </c>
      <c r="F39" s="28"/>
      <c r="H39" s="29"/>
      <c r="J39" s="30"/>
    </row>
    <row r="40" spans="1:10" s="9" customFormat="1">
      <c r="A40" s="21" t="s">
        <v>1</v>
      </c>
      <c r="B40" s="129" t="s">
        <v>127</v>
      </c>
      <c r="C40" s="130"/>
      <c r="D40" s="34">
        <v>0.2</v>
      </c>
      <c r="E40" s="17">
        <f>TRUNC($E$23*D40,2)</f>
        <v>193.05</v>
      </c>
      <c r="F40" s="28"/>
      <c r="H40" s="29"/>
      <c r="J40" s="30"/>
    </row>
    <row r="41" spans="1:10" s="9" customFormat="1">
      <c r="A41" s="21" t="s">
        <v>3</v>
      </c>
      <c r="B41" s="129" t="s">
        <v>128</v>
      </c>
      <c r="C41" s="130"/>
      <c r="D41" s="34">
        <v>1.4999999999999999E-2</v>
      </c>
      <c r="E41" s="17">
        <f t="shared" ref="E41:E47" si="1">TRUNC($E$23*D41,2)</f>
        <v>14.47</v>
      </c>
      <c r="F41" s="28"/>
      <c r="H41" s="29"/>
      <c r="J41" s="30"/>
    </row>
    <row r="42" spans="1:10" s="9" customFormat="1">
      <c r="A42" s="21" t="s">
        <v>5</v>
      </c>
      <c r="B42" s="129" t="s">
        <v>125</v>
      </c>
      <c r="C42" s="130"/>
      <c r="D42" s="34">
        <v>0.01</v>
      </c>
      <c r="E42" s="17">
        <f t="shared" si="1"/>
        <v>9.65</v>
      </c>
      <c r="F42" s="28"/>
      <c r="H42" s="35"/>
      <c r="J42" s="36"/>
    </row>
    <row r="43" spans="1:10" s="9" customFormat="1">
      <c r="A43" s="21" t="s">
        <v>7</v>
      </c>
      <c r="B43" s="131" t="s">
        <v>165</v>
      </c>
      <c r="C43" s="130"/>
      <c r="D43" s="110">
        <v>2E-3</v>
      </c>
      <c r="E43" s="17">
        <f t="shared" si="1"/>
        <v>1.93</v>
      </c>
      <c r="F43" s="28"/>
    </row>
    <row r="44" spans="1:10" s="9" customFormat="1">
      <c r="A44" s="21" t="s">
        <v>20</v>
      </c>
      <c r="B44" s="129" t="s">
        <v>126</v>
      </c>
      <c r="C44" s="130"/>
      <c r="D44" s="34">
        <v>2.5000000000000001E-2</v>
      </c>
      <c r="E44" s="17">
        <f t="shared" si="1"/>
        <v>24.13</v>
      </c>
      <c r="F44" s="37"/>
      <c r="H44" s="38"/>
      <c r="I44" s="39"/>
      <c r="J44" s="38"/>
    </row>
    <row r="45" spans="1:10" s="9" customFormat="1">
      <c r="A45" s="21" t="s">
        <v>21</v>
      </c>
      <c r="B45" s="129" t="s">
        <v>129</v>
      </c>
      <c r="C45" s="130"/>
      <c r="D45" s="34">
        <v>0.08</v>
      </c>
      <c r="E45" s="17">
        <f t="shared" si="1"/>
        <v>77.22</v>
      </c>
      <c r="F45" s="28"/>
    </row>
    <row r="46" spans="1:10" s="9" customFormat="1" ht="39.75" customHeight="1">
      <c r="A46" s="21" t="s">
        <v>22</v>
      </c>
      <c r="B46" s="198" t="s">
        <v>169</v>
      </c>
      <c r="C46" s="199"/>
      <c r="D46" s="110">
        <v>0.03</v>
      </c>
      <c r="E46" s="17">
        <f t="shared" si="1"/>
        <v>28.95</v>
      </c>
      <c r="F46" s="28"/>
    </row>
    <row r="47" spans="1:10" s="9" customFormat="1">
      <c r="A47" s="21" t="s">
        <v>34</v>
      </c>
      <c r="B47" s="200" t="s">
        <v>168</v>
      </c>
      <c r="C47" s="201"/>
      <c r="D47" s="110">
        <v>6.0000000000000001E-3</v>
      </c>
      <c r="E47" s="17">
        <f t="shared" si="1"/>
        <v>5.79</v>
      </c>
      <c r="F47" s="28"/>
    </row>
    <row r="48" spans="1:10" s="9" customFormat="1">
      <c r="A48" s="116" t="s">
        <v>35</v>
      </c>
      <c r="B48" s="117"/>
      <c r="C48" s="118"/>
      <c r="D48" s="40">
        <f>SUM(D40:D47)</f>
        <v>0.3680000000000001</v>
      </c>
      <c r="E48" s="18">
        <f>TRUNC(SUM(E40:E47),2)</f>
        <v>355.19</v>
      </c>
    </row>
    <row r="49" spans="1:12" s="9" customFormat="1">
      <c r="A49" s="126" t="s">
        <v>36</v>
      </c>
      <c r="B49" s="127"/>
      <c r="C49" s="127"/>
      <c r="D49" s="127"/>
      <c r="E49" s="128"/>
    </row>
    <row r="50" spans="1:12" s="9" customFormat="1">
      <c r="A50" s="33" t="s">
        <v>37</v>
      </c>
      <c r="B50" s="119" t="s">
        <v>97</v>
      </c>
      <c r="C50" s="120"/>
      <c r="D50" s="121"/>
      <c r="E50" s="5" t="s">
        <v>13</v>
      </c>
    </row>
    <row r="51" spans="1:12" s="9" customFormat="1">
      <c r="A51" s="21" t="s">
        <v>1</v>
      </c>
      <c r="B51" s="129" t="s">
        <v>38</v>
      </c>
      <c r="C51" s="130"/>
      <c r="D51" s="41">
        <f>1/12</f>
        <v>8.3333333333333329E-2</v>
      </c>
      <c r="E51" s="13">
        <f>TRUNC(+$E$23*D51,2)</f>
        <v>80.430000000000007</v>
      </c>
    </row>
    <row r="52" spans="1:12" s="9" customFormat="1">
      <c r="A52" s="116" t="s">
        <v>39</v>
      </c>
      <c r="B52" s="117"/>
      <c r="C52" s="202"/>
      <c r="D52" s="42">
        <f>SUM(D51:D51)</f>
        <v>8.3333333333333329E-2</v>
      </c>
      <c r="E52" s="18">
        <f>SUM(E51:E51)</f>
        <v>80.430000000000007</v>
      </c>
    </row>
    <row r="53" spans="1:12" s="9" customFormat="1">
      <c r="A53" s="21" t="s">
        <v>5</v>
      </c>
      <c r="B53" s="137" t="s">
        <v>40</v>
      </c>
      <c r="C53" s="138"/>
      <c r="D53" s="41">
        <f>+D48</f>
        <v>0.3680000000000001</v>
      </c>
      <c r="E53" s="13">
        <f>TRUNC(+E52*D53,2)</f>
        <v>29.59</v>
      </c>
    </row>
    <row r="54" spans="1:12" s="9" customFormat="1">
      <c r="A54" s="116" t="s">
        <v>35</v>
      </c>
      <c r="B54" s="117"/>
      <c r="C54" s="202"/>
      <c r="D54" s="43"/>
      <c r="E54" s="18">
        <f>+E53+E52</f>
        <v>110.02000000000001</v>
      </c>
    </row>
    <row r="55" spans="1:12" s="9" customFormat="1">
      <c r="A55" s="126" t="s">
        <v>41</v>
      </c>
      <c r="B55" s="127"/>
      <c r="C55" s="127"/>
      <c r="D55" s="127"/>
      <c r="E55" s="128"/>
    </row>
    <row r="56" spans="1:12" s="9" customFormat="1">
      <c r="A56" s="33" t="s">
        <v>42</v>
      </c>
      <c r="B56" s="119" t="s">
        <v>43</v>
      </c>
      <c r="C56" s="120"/>
      <c r="D56" s="121"/>
      <c r="E56" s="5" t="s">
        <v>13</v>
      </c>
    </row>
    <row r="57" spans="1:12" s="9" customFormat="1">
      <c r="A57" s="21" t="s">
        <v>1</v>
      </c>
      <c r="B57" s="137" t="s">
        <v>44</v>
      </c>
      <c r="C57" s="138"/>
      <c r="D57" s="111">
        <f>((38.05%*1.96%*47.81*61%)*3%)/1</f>
        <v>6.5250007493999991E-3</v>
      </c>
      <c r="E57" s="13">
        <f>TRUNC(+D57*$E$23,2)</f>
        <v>6.29</v>
      </c>
      <c r="L57" s="44"/>
    </row>
    <row r="58" spans="1:12" s="9" customFormat="1">
      <c r="A58" s="21" t="s">
        <v>3</v>
      </c>
      <c r="B58" s="137" t="s">
        <v>45</v>
      </c>
      <c r="C58" s="138"/>
      <c r="D58" s="34">
        <f>D48</f>
        <v>0.3680000000000001</v>
      </c>
      <c r="E58" s="13">
        <f>ROUND(+D58*E57,2)</f>
        <v>2.31</v>
      </c>
      <c r="F58" s="45"/>
      <c r="L58" s="44"/>
    </row>
    <row r="59" spans="1:12" s="9" customFormat="1">
      <c r="A59" s="116" t="s">
        <v>35</v>
      </c>
      <c r="B59" s="117"/>
      <c r="C59" s="117"/>
      <c r="D59" s="43"/>
      <c r="E59" s="18">
        <f>SUM(E57:E58)</f>
        <v>8.6</v>
      </c>
      <c r="F59" s="46"/>
      <c r="L59" s="44"/>
    </row>
    <row r="60" spans="1:12" s="9" customFormat="1">
      <c r="A60" s="126" t="s">
        <v>46</v>
      </c>
      <c r="B60" s="127"/>
      <c r="C60" s="127"/>
      <c r="D60" s="127"/>
      <c r="E60" s="128"/>
      <c r="F60" s="47"/>
      <c r="L60" s="44"/>
    </row>
    <row r="61" spans="1:12" s="9" customFormat="1">
      <c r="A61" s="33" t="s">
        <v>47</v>
      </c>
      <c r="B61" s="119" t="s">
        <v>48</v>
      </c>
      <c r="C61" s="120"/>
      <c r="D61" s="121"/>
      <c r="E61" s="5" t="s">
        <v>13</v>
      </c>
      <c r="L61" s="48"/>
    </row>
    <row r="62" spans="1:12" s="9" customFormat="1">
      <c r="A62" s="49" t="s">
        <v>1</v>
      </c>
      <c r="B62" s="135" t="s">
        <v>49</v>
      </c>
      <c r="C62" s="136"/>
      <c r="D62" s="50">
        <f>((1/12)*0.05)</f>
        <v>4.1666666666666666E-3</v>
      </c>
      <c r="E62" s="87">
        <f>TRUNC(+$E$23*D62,2)</f>
        <v>4.0199999999999996</v>
      </c>
      <c r="F62" s="46"/>
    </row>
    <row r="63" spans="1:12" s="9" customFormat="1">
      <c r="A63" s="49" t="s">
        <v>3</v>
      </c>
      <c r="B63" s="135" t="s">
        <v>98</v>
      </c>
      <c r="C63" s="136"/>
      <c r="D63" s="50">
        <f>+D45</f>
        <v>0.08</v>
      </c>
      <c r="E63" s="87">
        <f>TRUNC(+E62*D63,2)</f>
        <v>0.32</v>
      </c>
    </row>
    <row r="64" spans="1:12" s="9" customFormat="1" ht="15" customHeight="1">
      <c r="A64" s="49" t="s">
        <v>5</v>
      </c>
      <c r="B64" s="135" t="s">
        <v>104</v>
      </c>
      <c r="C64" s="136"/>
      <c r="D64" s="50">
        <f>(0.08*0.5*0.05)</f>
        <v>2E-3</v>
      </c>
      <c r="E64" s="87">
        <f>TRUNC(+$E$23*D64,2)</f>
        <v>1.93</v>
      </c>
    </row>
    <row r="65" spans="1:6" s="9" customFormat="1">
      <c r="A65" s="49" t="s">
        <v>7</v>
      </c>
      <c r="B65" s="188" t="s">
        <v>50</v>
      </c>
      <c r="C65" s="189"/>
      <c r="D65" s="50">
        <f>((7/30)/12)</f>
        <v>1.9444444444444445E-2</v>
      </c>
      <c r="E65" s="87">
        <f>TRUNC(+D65*$E$23,2)</f>
        <v>18.760000000000002</v>
      </c>
    </row>
    <row r="66" spans="1:6" s="9" customFormat="1" ht="15" customHeight="1">
      <c r="A66" s="49" t="s">
        <v>20</v>
      </c>
      <c r="B66" s="135" t="s">
        <v>99</v>
      </c>
      <c r="C66" s="136"/>
      <c r="D66" s="50">
        <f>+D48</f>
        <v>0.3680000000000001</v>
      </c>
      <c r="E66" s="87">
        <f>TRUNC(+E65*D66,2)</f>
        <v>6.9</v>
      </c>
    </row>
    <row r="67" spans="1:6" s="9" customFormat="1" ht="15" customHeight="1">
      <c r="A67" s="49" t="s">
        <v>21</v>
      </c>
      <c r="B67" s="135" t="s">
        <v>105</v>
      </c>
      <c r="C67" s="136"/>
      <c r="D67" s="50">
        <f>(0.08*0.5)</f>
        <v>0.04</v>
      </c>
      <c r="E67" s="87">
        <f>TRUNC(+E23*D67,2)</f>
        <v>38.61</v>
      </c>
    </row>
    <row r="68" spans="1:6" s="9" customFormat="1">
      <c r="A68" s="210" t="s">
        <v>35</v>
      </c>
      <c r="B68" s="211"/>
      <c r="C68" s="211"/>
      <c r="D68" s="51"/>
      <c r="E68" s="88">
        <f>SUM(E62:E67)</f>
        <v>70.539999999999992</v>
      </c>
    </row>
    <row r="69" spans="1:6" s="9" customFormat="1">
      <c r="A69" s="126" t="s">
        <v>51</v>
      </c>
      <c r="B69" s="127"/>
      <c r="C69" s="127"/>
      <c r="D69" s="127"/>
      <c r="E69" s="128"/>
    </row>
    <row r="70" spans="1:6" s="9" customFormat="1">
      <c r="A70" s="33" t="s">
        <v>52</v>
      </c>
      <c r="B70" s="207" t="s">
        <v>53</v>
      </c>
      <c r="C70" s="208"/>
      <c r="D70" s="209"/>
      <c r="E70" s="5" t="s">
        <v>13</v>
      </c>
    </row>
    <row r="71" spans="1:6" s="9" customFormat="1" ht="16.5" customHeight="1">
      <c r="A71" s="21" t="s">
        <v>1</v>
      </c>
      <c r="B71" s="137" t="s">
        <v>54</v>
      </c>
      <c r="C71" s="138"/>
      <c r="D71" s="34">
        <f>(((1+1/3)/12))</f>
        <v>0.1111111111111111</v>
      </c>
      <c r="E71" s="13">
        <f t="shared" ref="E71:E76" si="2">TRUNC(+D71*$E$23,2)</f>
        <v>107.25</v>
      </c>
      <c r="F71" s="36"/>
    </row>
    <row r="72" spans="1:6" s="9" customFormat="1">
      <c r="A72" s="21" t="s">
        <v>3</v>
      </c>
      <c r="B72" s="137" t="s">
        <v>55</v>
      </c>
      <c r="C72" s="138"/>
      <c r="D72" s="41">
        <v>1.66E-2</v>
      </c>
      <c r="E72" s="13">
        <f t="shared" si="2"/>
        <v>16.02</v>
      </c>
    </row>
    <row r="73" spans="1:6" s="9" customFormat="1">
      <c r="A73" s="21" t="s">
        <v>5</v>
      </c>
      <c r="B73" s="137" t="s">
        <v>56</v>
      </c>
      <c r="C73" s="138"/>
      <c r="D73" s="41">
        <v>2.0000000000000001E-4</v>
      </c>
      <c r="E73" s="13">
        <f t="shared" si="2"/>
        <v>0.19</v>
      </c>
      <c r="F73" s="52"/>
    </row>
    <row r="74" spans="1:6" s="9" customFormat="1">
      <c r="A74" s="21" t="s">
        <v>7</v>
      </c>
      <c r="B74" s="139" t="s">
        <v>57</v>
      </c>
      <c r="C74" s="140"/>
      <c r="D74" s="34">
        <v>2.8E-3</v>
      </c>
      <c r="E74" s="13">
        <f t="shared" si="2"/>
        <v>2.7</v>
      </c>
    </row>
    <row r="75" spans="1:6" s="9" customFormat="1">
      <c r="A75" s="21" t="s">
        <v>20</v>
      </c>
      <c r="B75" s="137" t="s">
        <v>58</v>
      </c>
      <c r="C75" s="138"/>
      <c r="D75" s="112">
        <v>2.9999999999999997E-4</v>
      </c>
      <c r="E75" s="13">
        <f t="shared" si="2"/>
        <v>0.28000000000000003</v>
      </c>
    </row>
    <row r="76" spans="1:6" s="9" customFormat="1">
      <c r="A76" s="21" t="s">
        <v>21</v>
      </c>
      <c r="B76" s="137" t="s">
        <v>23</v>
      </c>
      <c r="C76" s="138"/>
      <c r="D76" s="34">
        <v>0</v>
      </c>
      <c r="E76" s="13">
        <f t="shared" si="2"/>
        <v>0</v>
      </c>
      <c r="F76" s="52"/>
    </row>
    <row r="77" spans="1:6" s="9" customFormat="1">
      <c r="A77" s="116" t="s">
        <v>39</v>
      </c>
      <c r="B77" s="117"/>
      <c r="C77" s="118"/>
      <c r="D77" s="40"/>
      <c r="E77" s="18">
        <f>SUM(E71:E76)</f>
        <v>126.44</v>
      </c>
    </row>
    <row r="78" spans="1:6" s="9" customFormat="1" ht="30">
      <c r="A78" s="21" t="s">
        <v>22</v>
      </c>
      <c r="B78" s="16" t="s">
        <v>59</v>
      </c>
      <c r="C78" s="53"/>
      <c r="D78" s="41">
        <f>+D48</f>
        <v>0.3680000000000001</v>
      </c>
      <c r="E78" s="13">
        <f>TRUNC(+E77*D78,2)</f>
        <v>46.52</v>
      </c>
      <c r="F78" s="52"/>
    </row>
    <row r="79" spans="1:6" s="9" customFormat="1">
      <c r="A79" s="116" t="s">
        <v>35</v>
      </c>
      <c r="B79" s="117"/>
      <c r="C79" s="202"/>
      <c r="D79" s="54"/>
      <c r="E79" s="18">
        <f>SUM(E77:E78)</f>
        <v>172.96</v>
      </c>
    </row>
    <row r="80" spans="1:6" s="9" customFormat="1">
      <c r="A80" s="183" t="s">
        <v>60</v>
      </c>
      <c r="B80" s="184"/>
      <c r="C80" s="184"/>
      <c r="D80" s="184"/>
      <c r="E80" s="185"/>
    </row>
    <row r="81" spans="1:5" s="9" customFormat="1">
      <c r="A81" s="10">
        <v>4</v>
      </c>
      <c r="B81" s="119" t="s">
        <v>61</v>
      </c>
      <c r="C81" s="120"/>
      <c r="D81" s="121"/>
      <c r="E81" s="5" t="s">
        <v>13</v>
      </c>
    </row>
    <row r="82" spans="1:5" s="9" customFormat="1" ht="30" customHeight="1">
      <c r="A82" s="21" t="s">
        <v>32</v>
      </c>
      <c r="B82" s="132" t="s">
        <v>62</v>
      </c>
      <c r="C82" s="133"/>
      <c r="D82" s="134"/>
      <c r="E82" s="13">
        <f>+E48</f>
        <v>355.19</v>
      </c>
    </row>
    <row r="83" spans="1:5" s="9" customFormat="1">
      <c r="A83" s="21" t="s">
        <v>37</v>
      </c>
      <c r="B83" s="132" t="s">
        <v>63</v>
      </c>
      <c r="C83" s="133"/>
      <c r="D83" s="134"/>
      <c r="E83" s="13">
        <f>+E54</f>
        <v>110.02000000000001</v>
      </c>
    </row>
    <row r="84" spans="1:5" s="9" customFormat="1">
      <c r="A84" s="21" t="s">
        <v>42</v>
      </c>
      <c r="B84" s="132" t="s">
        <v>44</v>
      </c>
      <c r="C84" s="133"/>
      <c r="D84" s="134"/>
      <c r="E84" s="13">
        <f>+E59</f>
        <v>8.6</v>
      </c>
    </row>
    <row r="85" spans="1:5" s="9" customFormat="1">
      <c r="A85" s="21" t="s">
        <v>47</v>
      </c>
      <c r="B85" s="132" t="s">
        <v>64</v>
      </c>
      <c r="C85" s="133"/>
      <c r="D85" s="134"/>
      <c r="E85" s="13">
        <f>E68</f>
        <v>70.539999999999992</v>
      </c>
    </row>
    <row r="86" spans="1:5" s="9" customFormat="1">
      <c r="A86" s="21" t="s">
        <v>52</v>
      </c>
      <c r="B86" s="132" t="s">
        <v>65</v>
      </c>
      <c r="C86" s="133"/>
      <c r="D86" s="134"/>
      <c r="E86" s="13">
        <f>+E79</f>
        <v>172.96</v>
      </c>
    </row>
    <row r="87" spans="1:5" s="9" customFormat="1">
      <c r="A87" s="21" t="s">
        <v>66</v>
      </c>
      <c r="B87" s="132" t="s">
        <v>23</v>
      </c>
      <c r="C87" s="133"/>
      <c r="D87" s="134"/>
      <c r="E87" s="13">
        <f t="shared" ref="E87" si="3">+$E$23*D87</f>
        <v>0</v>
      </c>
    </row>
    <row r="88" spans="1:5" s="19" customFormat="1" ht="15" customHeight="1">
      <c r="A88" s="186" t="s">
        <v>67</v>
      </c>
      <c r="B88" s="187"/>
      <c r="C88" s="187"/>
      <c r="D88" s="190"/>
      <c r="E88" s="18">
        <f>SUM(E82:E87)</f>
        <v>717.31000000000006</v>
      </c>
    </row>
    <row r="89" spans="1:5" s="19" customFormat="1" ht="29.25" customHeight="1">
      <c r="A89" s="186" t="s">
        <v>68</v>
      </c>
      <c r="B89" s="187"/>
      <c r="C89" s="187"/>
      <c r="D89" s="55"/>
      <c r="E89" s="18">
        <f>+E23+E31+E36+E88</f>
        <v>2002.87</v>
      </c>
    </row>
    <row r="90" spans="1:5" s="9" customFormat="1">
      <c r="A90" s="126" t="s">
        <v>69</v>
      </c>
      <c r="B90" s="127"/>
      <c r="C90" s="127" t="s">
        <v>70</v>
      </c>
      <c r="D90" s="128" t="s">
        <v>71</v>
      </c>
      <c r="E90" s="8"/>
    </row>
    <row r="91" spans="1:5" s="9" customFormat="1">
      <c r="A91" s="10">
        <v>5</v>
      </c>
      <c r="B91" s="119" t="s">
        <v>72</v>
      </c>
      <c r="C91" s="120"/>
      <c r="D91" s="121"/>
      <c r="E91" s="56" t="s">
        <v>13</v>
      </c>
    </row>
    <row r="92" spans="1:5" s="9" customFormat="1">
      <c r="A92" s="108" t="s">
        <v>1</v>
      </c>
      <c r="B92" s="57" t="s">
        <v>73</v>
      </c>
      <c r="C92" s="194">
        <v>0</v>
      </c>
      <c r="D92" s="195"/>
      <c r="E92" s="13">
        <f>+E89*C92</f>
        <v>0</v>
      </c>
    </row>
    <row r="93" spans="1:5" s="9" customFormat="1">
      <c r="A93" s="108" t="s">
        <v>3</v>
      </c>
      <c r="B93" s="57" t="s">
        <v>74</v>
      </c>
      <c r="C93" s="194">
        <v>0</v>
      </c>
      <c r="D93" s="195"/>
      <c r="E93" s="13">
        <f>C93*(+E89+E92)</f>
        <v>0</v>
      </c>
    </row>
    <row r="94" spans="1:5" s="9" customFormat="1" ht="27" customHeight="1">
      <c r="A94" s="196" t="s">
        <v>5</v>
      </c>
      <c r="B94" s="215" t="s">
        <v>94</v>
      </c>
      <c r="C94" s="216"/>
      <c r="D94" s="25">
        <f>+(100-8.65)/100</f>
        <v>0.91349999999999998</v>
      </c>
      <c r="E94" s="17">
        <f>+E89+E92+E93</f>
        <v>2002.87</v>
      </c>
    </row>
    <row r="95" spans="1:5" s="9" customFormat="1">
      <c r="A95" s="196"/>
      <c r="B95" s="109" t="s">
        <v>75</v>
      </c>
      <c r="E95" s="89">
        <f>+E94/D94</f>
        <v>2192.5232621784344</v>
      </c>
    </row>
    <row r="96" spans="1:5" s="9" customFormat="1">
      <c r="A96" s="196"/>
      <c r="B96" s="58" t="s">
        <v>76</v>
      </c>
      <c r="C96" s="59"/>
      <c r="D96" s="60"/>
      <c r="E96" s="13"/>
    </row>
    <row r="97" spans="1:6" s="9" customFormat="1">
      <c r="A97" s="196"/>
      <c r="B97" s="61" t="s">
        <v>101</v>
      </c>
      <c r="C97" s="62"/>
      <c r="D97" s="78">
        <v>6.4999999999999997E-3</v>
      </c>
      <c r="E97" s="13">
        <f>+E95*D97</f>
        <v>14.251401204159823</v>
      </c>
      <c r="F97" s="52"/>
    </row>
    <row r="98" spans="1:6" s="9" customFormat="1">
      <c r="A98" s="196"/>
      <c r="B98" s="61" t="s">
        <v>102</v>
      </c>
      <c r="C98" s="62"/>
      <c r="D98" s="78">
        <v>0.03</v>
      </c>
      <c r="E98" s="13">
        <f>+E95*D98</f>
        <v>65.775697865353024</v>
      </c>
    </row>
    <row r="99" spans="1:6" s="9" customFormat="1">
      <c r="A99" s="196"/>
      <c r="B99" s="63" t="s">
        <v>77</v>
      </c>
      <c r="C99" s="64"/>
      <c r="D99" s="65"/>
      <c r="E99" s="13"/>
    </row>
    <row r="100" spans="1:6" s="9" customFormat="1">
      <c r="A100" s="196"/>
      <c r="B100" s="63" t="s">
        <v>78</v>
      </c>
      <c r="C100" s="64"/>
      <c r="D100" s="66"/>
      <c r="E100" s="13"/>
    </row>
    <row r="101" spans="1:6" s="9" customFormat="1" ht="15.75" thickBot="1">
      <c r="A101" s="197"/>
      <c r="B101" s="67" t="s">
        <v>103</v>
      </c>
      <c r="C101" s="68"/>
      <c r="D101" s="79">
        <v>0.05</v>
      </c>
      <c r="E101" s="90">
        <f>+E95*D101</f>
        <v>109.62616310892173</v>
      </c>
    </row>
    <row r="102" spans="1:6" s="9" customFormat="1" ht="15.75" thickBot="1">
      <c r="A102" s="69"/>
      <c r="B102" s="70" t="s">
        <v>79</v>
      </c>
      <c r="C102" s="70"/>
      <c r="D102" s="71">
        <f>SUM(D97:D101)</f>
        <v>8.6499999999999994E-2</v>
      </c>
      <c r="E102" s="91">
        <f>SUM(E97:E101)</f>
        <v>189.65326217843457</v>
      </c>
    </row>
    <row r="103" spans="1:6" s="19" customFormat="1">
      <c r="A103" s="191" t="s">
        <v>80</v>
      </c>
      <c r="B103" s="192"/>
      <c r="C103" s="192"/>
      <c r="D103" s="193"/>
      <c r="E103" s="92">
        <f>+E92+E93+E102</f>
        <v>189.65326217843457</v>
      </c>
    </row>
    <row r="104" spans="1:6" s="9" customFormat="1">
      <c r="A104" s="186" t="s">
        <v>81</v>
      </c>
      <c r="B104" s="187"/>
      <c r="C104" s="187"/>
      <c r="D104" s="190"/>
      <c r="E104" s="72" t="s">
        <v>13</v>
      </c>
    </row>
    <row r="105" spans="1:6" s="9" customFormat="1">
      <c r="A105" s="108" t="s">
        <v>1</v>
      </c>
      <c r="B105" s="212" t="s">
        <v>82</v>
      </c>
      <c r="C105" s="213"/>
      <c r="D105" s="214"/>
      <c r="E105" s="13">
        <f>+E23</f>
        <v>965.25</v>
      </c>
    </row>
    <row r="106" spans="1:6" s="9" customFormat="1">
      <c r="A106" s="108" t="s">
        <v>3</v>
      </c>
      <c r="B106" s="212" t="s">
        <v>83</v>
      </c>
      <c r="C106" s="213"/>
      <c r="D106" s="214"/>
      <c r="E106" s="13">
        <f>+E31</f>
        <v>320.31</v>
      </c>
    </row>
    <row r="107" spans="1:6" s="9" customFormat="1">
      <c r="A107" s="108" t="s">
        <v>5</v>
      </c>
      <c r="B107" s="212" t="s">
        <v>84</v>
      </c>
      <c r="C107" s="213"/>
      <c r="D107" s="214"/>
      <c r="E107" s="13">
        <f>+E36</f>
        <v>0</v>
      </c>
    </row>
    <row r="108" spans="1:6" s="9" customFormat="1">
      <c r="A108" s="108" t="s">
        <v>7</v>
      </c>
      <c r="B108" s="212" t="s">
        <v>85</v>
      </c>
      <c r="C108" s="213"/>
      <c r="D108" s="214"/>
      <c r="E108" s="13">
        <f>+E88</f>
        <v>717.31000000000006</v>
      </c>
    </row>
    <row r="109" spans="1:6" s="9" customFormat="1">
      <c r="A109" s="116" t="s">
        <v>86</v>
      </c>
      <c r="B109" s="117"/>
      <c r="C109" s="202"/>
      <c r="D109" s="73"/>
      <c r="E109" s="18">
        <f>SUM(E105:E108)</f>
        <v>2002.87</v>
      </c>
    </row>
    <row r="110" spans="1:6" s="9" customFormat="1">
      <c r="A110" s="108" t="s">
        <v>20</v>
      </c>
      <c r="B110" s="212" t="s">
        <v>87</v>
      </c>
      <c r="C110" s="213"/>
      <c r="D110" s="214"/>
      <c r="E110" s="13">
        <f>+E103</f>
        <v>189.65326217843457</v>
      </c>
    </row>
    <row r="111" spans="1:6" s="19" customFormat="1" ht="15.75">
      <c r="A111" s="204" t="s">
        <v>88</v>
      </c>
      <c r="B111" s="205"/>
      <c r="C111" s="205"/>
      <c r="D111" s="206"/>
      <c r="E111" s="93">
        <f>+E109+E110</f>
        <v>2192.5232621784344</v>
      </c>
    </row>
    <row r="112" spans="1:6">
      <c r="A112" s="74" t="s">
        <v>89</v>
      </c>
      <c r="E112" s="77">
        <f>+E111/E105</f>
        <v>2.2714563710732292</v>
      </c>
    </row>
  </sheetData>
  <sheetProtection password="CAC1" sheet="1" objects="1" scenarios="1"/>
  <mergeCells count="97">
    <mergeCell ref="A111:D111"/>
    <mergeCell ref="C93:D93"/>
    <mergeCell ref="A94:A101"/>
    <mergeCell ref="B94:C94"/>
    <mergeCell ref="A103:D103"/>
    <mergeCell ref="A104:D104"/>
    <mergeCell ref="B105:D105"/>
    <mergeCell ref="B106:D106"/>
    <mergeCell ref="B107:D107"/>
    <mergeCell ref="B108:D108"/>
    <mergeCell ref="A109:C109"/>
    <mergeCell ref="B110:D110"/>
    <mergeCell ref="C92:D92"/>
    <mergeCell ref="B81:D81"/>
    <mergeCell ref="B82:D82"/>
    <mergeCell ref="B83:D83"/>
    <mergeCell ref="B84:D84"/>
    <mergeCell ref="B85:D85"/>
    <mergeCell ref="B86:D86"/>
    <mergeCell ref="B87:D87"/>
    <mergeCell ref="A88:D88"/>
    <mergeCell ref="A89:C89"/>
    <mergeCell ref="A90:D90"/>
    <mergeCell ref="B91:D91"/>
    <mergeCell ref="A80:E80"/>
    <mergeCell ref="A68:C68"/>
    <mergeCell ref="A69:E69"/>
    <mergeCell ref="B70:D70"/>
    <mergeCell ref="B71:C71"/>
    <mergeCell ref="B72:C72"/>
    <mergeCell ref="B73:C73"/>
    <mergeCell ref="B74:C74"/>
    <mergeCell ref="B75:C75"/>
    <mergeCell ref="B76:C76"/>
    <mergeCell ref="A77:C77"/>
    <mergeCell ref="A79:C79"/>
    <mergeCell ref="B67:C67"/>
    <mergeCell ref="B56:D56"/>
    <mergeCell ref="B57:C57"/>
    <mergeCell ref="B58:C58"/>
    <mergeCell ref="A59:C59"/>
    <mergeCell ref="A60:E60"/>
    <mergeCell ref="B61:D61"/>
    <mergeCell ref="B62:C62"/>
    <mergeCell ref="B63:C63"/>
    <mergeCell ref="B64:C64"/>
    <mergeCell ref="B65:C65"/>
    <mergeCell ref="B66:C66"/>
    <mergeCell ref="A55:E55"/>
    <mergeCell ref="B44:C44"/>
    <mergeCell ref="B45:C45"/>
    <mergeCell ref="B46:C46"/>
    <mergeCell ref="B47:C47"/>
    <mergeCell ref="A48:C48"/>
    <mergeCell ref="A49:E49"/>
    <mergeCell ref="B50:D50"/>
    <mergeCell ref="B51:C51"/>
    <mergeCell ref="A52:C52"/>
    <mergeCell ref="B53:C53"/>
    <mergeCell ref="A54:C54"/>
    <mergeCell ref="B43:C43"/>
    <mergeCell ref="A23:D23"/>
    <mergeCell ref="A24:D24"/>
    <mergeCell ref="A31:D31"/>
    <mergeCell ref="A32:E32"/>
    <mergeCell ref="A36:D36"/>
    <mergeCell ref="A37:E37"/>
    <mergeCell ref="A38:E38"/>
    <mergeCell ref="B39:C39"/>
    <mergeCell ref="B40:C40"/>
    <mergeCell ref="B41:C41"/>
    <mergeCell ref="B42:C42"/>
    <mergeCell ref="C22:D22"/>
    <mergeCell ref="C16:E16"/>
    <mergeCell ref="C17:E17"/>
    <mergeCell ref="C18:E18"/>
    <mergeCell ref="A19:D19"/>
    <mergeCell ref="B20:D20"/>
    <mergeCell ref="C21:D21"/>
    <mergeCell ref="A14:D14"/>
    <mergeCell ref="C15:E15"/>
    <mergeCell ref="C6:E6"/>
    <mergeCell ref="C7:E7"/>
    <mergeCell ref="C8:E8"/>
    <mergeCell ref="A9:E9"/>
    <mergeCell ref="A10:B10"/>
    <mergeCell ref="C10:E10"/>
    <mergeCell ref="C5:E5"/>
    <mergeCell ref="A11:B11"/>
    <mergeCell ref="C11:E11"/>
    <mergeCell ref="A12:E12"/>
    <mergeCell ref="A13:E13"/>
    <mergeCell ref="A2:C2"/>
    <mergeCell ref="D2:E2"/>
    <mergeCell ref="A3:C3"/>
    <mergeCell ref="D3:E3"/>
    <mergeCell ref="A4:E4"/>
  </mergeCells>
  <printOptions horizontalCentered="1"/>
  <pageMargins left="3.937007874015748E-2" right="3.937007874015748E-2" top="0.15748031496062992" bottom="0.15748031496062992" header="0.31496062992125984" footer="0"/>
  <pageSetup paperSize="9" scale="58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12"/>
  <sheetViews>
    <sheetView showGridLines="0" zoomScale="90" zoomScaleNormal="90" zoomScaleSheetLayoutView="145" zoomScalePageLayoutView="55" workbookViewId="0">
      <pane xSplit="1" topLeftCell="B1" activePane="topRight" state="frozen"/>
      <selection activeCell="A10" sqref="A10"/>
      <selection pane="topRight" sqref="A1:XFD1048576"/>
    </sheetView>
  </sheetViews>
  <sheetFormatPr defaultRowHeight="15"/>
  <cols>
    <col min="1" max="1" width="9.140625" style="74" customWidth="1"/>
    <col min="2" max="2" width="45.7109375" style="75" bestFit="1" customWidth="1"/>
    <col min="3" max="3" width="24.28515625" style="75" customWidth="1"/>
    <col min="4" max="4" width="14.5703125" style="76" customWidth="1"/>
    <col min="5" max="5" width="16.28515625" style="77" customWidth="1"/>
    <col min="6" max="6" width="31.85546875" style="1" customWidth="1"/>
    <col min="7" max="7" width="5.5703125" style="1" customWidth="1"/>
    <col min="8" max="8" width="11.140625" style="1" hidden="1" customWidth="1"/>
    <col min="9" max="9" width="22" style="1" customWidth="1"/>
    <col min="10" max="16384" width="9.140625" style="1"/>
  </cols>
  <sheetData>
    <row r="2" spans="1:5" ht="15" customHeight="1">
      <c r="A2" s="141" t="s">
        <v>90</v>
      </c>
      <c r="B2" s="142"/>
      <c r="C2" s="143"/>
      <c r="D2" s="144"/>
      <c r="E2" s="145"/>
    </row>
    <row r="3" spans="1:5" ht="15" customHeight="1">
      <c r="A3" s="141" t="s">
        <v>91</v>
      </c>
      <c r="B3" s="142"/>
      <c r="C3" s="143"/>
      <c r="D3" s="217"/>
      <c r="E3" s="145"/>
    </row>
    <row r="4" spans="1:5" s="2" customFormat="1">
      <c r="A4" s="150" t="s">
        <v>0</v>
      </c>
      <c r="B4" s="151"/>
      <c r="C4" s="151"/>
      <c r="D4" s="151"/>
      <c r="E4" s="152"/>
    </row>
    <row r="5" spans="1:5">
      <c r="A5" s="3" t="s">
        <v>1</v>
      </c>
      <c r="B5" s="4" t="s">
        <v>2</v>
      </c>
      <c r="C5" s="153">
        <v>42583</v>
      </c>
      <c r="D5" s="154"/>
      <c r="E5" s="155"/>
    </row>
    <row r="6" spans="1:5">
      <c r="A6" s="3" t="s">
        <v>3</v>
      </c>
      <c r="B6" s="4" t="s">
        <v>4</v>
      </c>
      <c r="C6" s="156" t="s">
        <v>145</v>
      </c>
      <c r="D6" s="157"/>
      <c r="E6" s="158"/>
    </row>
    <row r="7" spans="1:5" ht="30">
      <c r="A7" s="3" t="s">
        <v>5</v>
      </c>
      <c r="B7" s="4" t="s">
        <v>6</v>
      </c>
      <c r="C7" s="153" t="str">
        <f>'Recife SEDE'!C7:E7</f>
        <v>2016/2016 - Registro no MTE: PE000143/2016</v>
      </c>
      <c r="D7" s="154"/>
      <c r="E7" s="155"/>
    </row>
    <row r="8" spans="1:5">
      <c r="A8" s="3" t="s">
        <v>7</v>
      </c>
      <c r="B8" s="4" t="s">
        <v>92</v>
      </c>
      <c r="C8" s="156" t="s">
        <v>96</v>
      </c>
      <c r="D8" s="157"/>
      <c r="E8" s="158"/>
    </row>
    <row r="9" spans="1:5" s="2" customFormat="1">
      <c r="A9" s="159" t="s">
        <v>8</v>
      </c>
      <c r="B9" s="160"/>
      <c r="C9" s="160"/>
      <c r="D9" s="160"/>
      <c r="E9" s="161"/>
    </row>
    <row r="10" spans="1:5" ht="15" customHeight="1">
      <c r="A10" s="162" t="s">
        <v>9</v>
      </c>
      <c r="B10" s="163"/>
      <c r="C10" s="147" t="s">
        <v>109</v>
      </c>
      <c r="D10" s="148"/>
      <c r="E10" s="149"/>
    </row>
    <row r="11" spans="1:5">
      <c r="A11" s="154" t="s">
        <v>140</v>
      </c>
      <c r="B11" s="155"/>
      <c r="C11" s="164">
        <v>1</v>
      </c>
      <c r="D11" s="164"/>
      <c r="E11" s="164"/>
    </row>
    <row r="12" spans="1:5" s="2" customFormat="1">
      <c r="A12" s="165" t="s">
        <v>10</v>
      </c>
      <c r="B12" s="166"/>
      <c r="C12" s="166"/>
      <c r="D12" s="166"/>
      <c r="E12" s="167"/>
    </row>
    <row r="13" spans="1:5" s="2" customFormat="1">
      <c r="A13" s="168" t="s">
        <v>11</v>
      </c>
      <c r="B13" s="169"/>
      <c r="C13" s="169"/>
      <c r="D13" s="169"/>
      <c r="E13" s="170"/>
    </row>
    <row r="14" spans="1:5" ht="15" customHeight="1">
      <c r="A14" s="174" t="s">
        <v>12</v>
      </c>
      <c r="B14" s="175"/>
      <c r="C14" s="175"/>
      <c r="D14" s="176"/>
      <c r="E14" s="5" t="s">
        <v>13</v>
      </c>
    </row>
    <row r="15" spans="1:5" ht="30">
      <c r="A15" s="3">
        <v>1</v>
      </c>
      <c r="B15" s="6" t="s">
        <v>93</v>
      </c>
      <c r="C15" s="177" t="s">
        <v>140</v>
      </c>
      <c r="D15" s="178"/>
      <c r="E15" s="179"/>
    </row>
    <row r="16" spans="1:5">
      <c r="A16" s="3">
        <v>2</v>
      </c>
      <c r="B16" s="6" t="s">
        <v>14</v>
      </c>
      <c r="C16" s="171">
        <v>965.25</v>
      </c>
      <c r="D16" s="172"/>
      <c r="E16" s="173"/>
    </row>
    <row r="17" spans="1:9" ht="30">
      <c r="A17" s="3">
        <v>3</v>
      </c>
      <c r="B17" s="6" t="s">
        <v>15</v>
      </c>
      <c r="C17" s="177" t="s">
        <v>140</v>
      </c>
      <c r="D17" s="178"/>
      <c r="E17" s="179"/>
    </row>
    <row r="18" spans="1:9">
      <c r="A18" s="3">
        <v>4</v>
      </c>
      <c r="B18" s="7" t="s">
        <v>16</v>
      </c>
      <c r="C18" s="180" t="s">
        <v>108</v>
      </c>
      <c r="D18" s="181"/>
      <c r="E18" s="182"/>
    </row>
    <row r="19" spans="1:9" s="9" customFormat="1">
      <c r="A19" s="183" t="s">
        <v>17</v>
      </c>
      <c r="B19" s="184"/>
      <c r="C19" s="184"/>
      <c r="D19" s="185"/>
      <c r="E19" s="8"/>
    </row>
    <row r="20" spans="1:9" s="9" customFormat="1">
      <c r="A20" s="10">
        <v>1</v>
      </c>
      <c r="B20" s="119" t="s">
        <v>18</v>
      </c>
      <c r="C20" s="120"/>
      <c r="D20" s="121"/>
      <c r="E20" s="5" t="s">
        <v>13</v>
      </c>
    </row>
    <row r="21" spans="1:9">
      <c r="A21" s="11" t="s">
        <v>1</v>
      </c>
      <c r="B21" s="12" t="s">
        <v>19</v>
      </c>
      <c r="C21" s="122"/>
      <c r="D21" s="123"/>
      <c r="E21" s="13">
        <f>+C16</f>
        <v>965.25</v>
      </c>
      <c r="H21" s="1">
        <f>+$E$21*2</f>
        <v>1930.5</v>
      </c>
    </row>
    <row r="22" spans="1:9">
      <c r="A22" s="11" t="s">
        <v>3</v>
      </c>
      <c r="B22" s="16" t="s">
        <v>23</v>
      </c>
      <c r="C22" s="124"/>
      <c r="D22" s="125"/>
      <c r="E22" s="14">
        <f>C22*$C$16</f>
        <v>0</v>
      </c>
      <c r="F22" s="15"/>
      <c r="H22" s="1">
        <f t="shared" ref="H22" si="0">+$E$21*2</f>
        <v>1930.5</v>
      </c>
    </row>
    <row r="23" spans="1:9" s="19" customFormat="1" ht="15" customHeight="1">
      <c r="A23" s="113" t="s">
        <v>24</v>
      </c>
      <c r="B23" s="114"/>
      <c r="C23" s="114"/>
      <c r="D23" s="115"/>
      <c r="E23" s="18">
        <f>TRUNC(SUM(E21:E22),2)</f>
        <v>965.25</v>
      </c>
      <c r="F23" s="15"/>
    </row>
    <row r="24" spans="1:9" s="9" customFormat="1">
      <c r="A24" s="126" t="s">
        <v>95</v>
      </c>
      <c r="B24" s="127"/>
      <c r="C24" s="127"/>
      <c r="D24" s="128"/>
      <c r="E24" s="8"/>
      <c r="F24" s="15"/>
    </row>
    <row r="25" spans="1:9">
      <c r="A25" s="10">
        <v>2</v>
      </c>
      <c r="B25" s="20" t="s">
        <v>25</v>
      </c>
      <c r="C25" s="20" t="s">
        <v>110</v>
      </c>
      <c r="D25" s="20" t="s">
        <v>111</v>
      </c>
      <c r="E25" s="5" t="s">
        <v>13</v>
      </c>
      <c r="F25" s="15"/>
    </row>
    <row r="26" spans="1:9">
      <c r="A26" s="21" t="s">
        <v>1</v>
      </c>
      <c r="B26" s="16" t="s">
        <v>100</v>
      </c>
      <c r="C26" s="3">
        <v>44</v>
      </c>
      <c r="D26" s="100">
        <v>2.8</v>
      </c>
      <c r="E26" s="22">
        <f>+TRUNC((C26*D26)-(C16*0.06),2)</f>
        <v>65.28</v>
      </c>
      <c r="F26" s="15"/>
      <c r="I26" s="15"/>
    </row>
    <row r="27" spans="1:9">
      <c r="A27" s="21" t="s">
        <v>3</v>
      </c>
      <c r="B27" s="16" t="s">
        <v>133</v>
      </c>
      <c r="C27" s="3">
        <v>22</v>
      </c>
      <c r="D27" s="85">
        <v>6.66</v>
      </c>
      <c r="E27" s="22">
        <f>TRUNC((C27*D27)*0.8,2)</f>
        <v>117.21</v>
      </c>
      <c r="F27" s="23"/>
      <c r="I27" s="15"/>
    </row>
    <row r="28" spans="1:9">
      <c r="A28" s="21" t="s">
        <v>5</v>
      </c>
      <c r="B28" s="16" t="s">
        <v>132</v>
      </c>
      <c r="C28" s="3">
        <v>1</v>
      </c>
      <c r="D28" s="85">
        <v>100</v>
      </c>
      <c r="E28" s="22">
        <f>TRUNC((C28*D28),2)</f>
        <v>100</v>
      </c>
      <c r="F28" s="15"/>
      <c r="I28" s="15"/>
    </row>
    <row r="29" spans="1:9">
      <c r="A29" s="21" t="s">
        <v>7</v>
      </c>
      <c r="B29" s="16" t="s">
        <v>134</v>
      </c>
      <c r="C29" s="3">
        <v>1</v>
      </c>
      <c r="D29" s="85">
        <v>37.82</v>
      </c>
      <c r="E29" s="22">
        <f>TRUNC((C29*D29),2)</f>
        <v>37.82</v>
      </c>
      <c r="I29" s="15"/>
    </row>
    <row r="30" spans="1:9">
      <c r="A30" s="21" t="s">
        <v>20</v>
      </c>
      <c r="B30" s="16" t="s">
        <v>106</v>
      </c>
      <c r="C30" s="3">
        <v>0</v>
      </c>
      <c r="D30" s="85">
        <v>0</v>
      </c>
      <c r="E30" s="22">
        <f>TRUNC((C30*D30),2)</f>
        <v>0</v>
      </c>
      <c r="I30" s="15"/>
    </row>
    <row r="31" spans="1:9" s="19" customFormat="1" ht="15" customHeight="1">
      <c r="A31" s="113" t="s">
        <v>26</v>
      </c>
      <c r="B31" s="114"/>
      <c r="C31" s="114"/>
      <c r="D31" s="115"/>
      <c r="E31" s="18">
        <f>SUM(E26:E30)</f>
        <v>320.31</v>
      </c>
    </row>
    <row r="32" spans="1:9" s="9" customFormat="1">
      <c r="A32" s="126" t="s">
        <v>27</v>
      </c>
      <c r="B32" s="127"/>
      <c r="C32" s="127"/>
      <c r="D32" s="127"/>
      <c r="E32" s="128"/>
    </row>
    <row r="33" spans="1:10" s="9" customFormat="1">
      <c r="A33" s="10">
        <v>3</v>
      </c>
      <c r="B33" s="20" t="s">
        <v>28</v>
      </c>
      <c r="C33" s="20" t="s">
        <v>110</v>
      </c>
      <c r="D33" s="20" t="s">
        <v>111</v>
      </c>
      <c r="E33" s="5" t="s">
        <v>13</v>
      </c>
    </row>
    <row r="34" spans="1:10" s="9" customFormat="1">
      <c r="A34" s="21" t="s">
        <v>1</v>
      </c>
      <c r="B34" s="16" t="s">
        <v>167</v>
      </c>
      <c r="C34" s="24">
        <v>1</v>
      </c>
      <c r="D34" s="13">
        <f>Uniforme!G12</f>
        <v>0</v>
      </c>
      <c r="E34" s="13">
        <f>TRUNC((C34*D34),2)</f>
        <v>0</v>
      </c>
      <c r="F34" s="26"/>
    </row>
    <row r="35" spans="1:10" s="9" customFormat="1">
      <c r="A35" s="21" t="s">
        <v>3</v>
      </c>
      <c r="B35" s="16" t="s">
        <v>107</v>
      </c>
      <c r="C35" s="27">
        <v>0</v>
      </c>
      <c r="D35" s="86">
        <v>0</v>
      </c>
      <c r="E35" s="13">
        <f>TRUNC((C35*D35),2)</f>
        <v>0</v>
      </c>
    </row>
    <row r="36" spans="1:10" s="19" customFormat="1" ht="15" customHeight="1">
      <c r="A36" s="113" t="s">
        <v>29</v>
      </c>
      <c r="B36" s="114"/>
      <c r="C36" s="114"/>
      <c r="D36" s="115"/>
      <c r="E36" s="18">
        <f>SUM(E34:E35)</f>
        <v>0</v>
      </c>
      <c r="F36" s="28"/>
      <c r="H36" s="32"/>
      <c r="J36" s="30"/>
    </row>
    <row r="37" spans="1:10" s="9" customFormat="1">
      <c r="A37" s="126" t="s">
        <v>30</v>
      </c>
      <c r="B37" s="127"/>
      <c r="C37" s="127"/>
      <c r="D37" s="127"/>
      <c r="E37" s="128"/>
      <c r="F37" s="28"/>
      <c r="H37" s="29"/>
      <c r="J37" s="30"/>
    </row>
    <row r="38" spans="1:10" s="9" customFormat="1">
      <c r="A38" s="126" t="s">
        <v>31</v>
      </c>
      <c r="B38" s="127"/>
      <c r="C38" s="127"/>
      <c r="D38" s="127"/>
      <c r="E38" s="128"/>
      <c r="F38" s="28"/>
      <c r="H38" s="29"/>
      <c r="J38" s="30"/>
    </row>
    <row r="39" spans="1:10" s="9" customFormat="1">
      <c r="A39" s="33" t="s">
        <v>32</v>
      </c>
      <c r="B39" s="119" t="s">
        <v>33</v>
      </c>
      <c r="C39" s="203"/>
      <c r="D39" s="20" t="s">
        <v>130</v>
      </c>
      <c r="E39" s="5" t="s">
        <v>13</v>
      </c>
      <c r="F39" s="28"/>
      <c r="H39" s="29"/>
      <c r="J39" s="30"/>
    </row>
    <row r="40" spans="1:10" s="9" customFormat="1">
      <c r="A40" s="21" t="s">
        <v>1</v>
      </c>
      <c r="B40" s="129" t="s">
        <v>127</v>
      </c>
      <c r="C40" s="130"/>
      <c r="D40" s="34">
        <v>0.2</v>
      </c>
      <c r="E40" s="17">
        <f>TRUNC($E$23*D40,2)</f>
        <v>193.05</v>
      </c>
      <c r="F40" s="28"/>
      <c r="H40" s="29"/>
      <c r="J40" s="30"/>
    </row>
    <row r="41" spans="1:10" s="9" customFormat="1">
      <c r="A41" s="21" t="s">
        <v>3</v>
      </c>
      <c r="B41" s="129" t="s">
        <v>128</v>
      </c>
      <c r="C41" s="130"/>
      <c r="D41" s="34">
        <v>1.4999999999999999E-2</v>
      </c>
      <c r="E41" s="17">
        <f t="shared" ref="E41:E47" si="1">TRUNC($E$23*D41,2)</f>
        <v>14.47</v>
      </c>
      <c r="F41" s="28"/>
      <c r="H41" s="29"/>
      <c r="J41" s="30"/>
    </row>
    <row r="42" spans="1:10" s="9" customFormat="1">
      <c r="A42" s="21" t="s">
        <v>5</v>
      </c>
      <c r="B42" s="129" t="s">
        <v>125</v>
      </c>
      <c r="C42" s="130"/>
      <c r="D42" s="34">
        <v>0.01</v>
      </c>
      <c r="E42" s="17">
        <f t="shared" si="1"/>
        <v>9.65</v>
      </c>
      <c r="F42" s="28"/>
      <c r="H42" s="35"/>
      <c r="J42" s="36"/>
    </row>
    <row r="43" spans="1:10" s="9" customFormat="1">
      <c r="A43" s="21" t="s">
        <v>7</v>
      </c>
      <c r="B43" s="131" t="s">
        <v>165</v>
      </c>
      <c r="C43" s="130"/>
      <c r="D43" s="110">
        <v>2E-3</v>
      </c>
      <c r="E43" s="17">
        <f t="shared" si="1"/>
        <v>1.93</v>
      </c>
      <c r="F43" s="28"/>
    </row>
    <row r="44" spans="1:10" s="9" customFormat="1">
      <c r="A44" s="21" t="s">
        <v>20</v>
      </c>
      <c r="B44" s="129" t="s">
        <v>126</v>
      </c>
      <c r="C44" s="130"/>
      <c r="D44" s="34">
        <v>2.5000000000000001E-2</v>
      </c>
      <c r="E44" s="17">
        <f t="shared" si="1"/>
        <v>24.13</v>
      </c>
      <c r="F44" s="37"/>
      <c r="H44" s="38"/>
      <c r="I44" s="39"/>
      <c r="J44" s="38"/>
    </row>
    <row r="45" spans="1:10" s="9" customFormat="1">
      <c r="A45" s="21" t="s">
        <v>21</v>
      </c>
      <c r="B45" s="129" t="s">
        <v>129</v>
      </c>
      <c r="C45" s="130"/>
      <c r="D45" s="34">
        <v>0.08</v>
      </c>
      <c r="E45" s="17">
        <f t="shared" si="1"/>
        <v>77.22</v>
      </c>
      <c r="F45" s="28"/>
    </row>
    <row r="46" spans="1:10" s="9" customFormat="1" ht="39.75" customHeight="1">
      <c r="A46" s="21" t="s">
        <v>22</v>
      </c>
      <c r="B46" s="198" t="s">
        <v>169</v>
      </c>
      <c r="C46" s="199"/>
      <c r="D46" s="110">
        <v>0.03</v>
      </c>
      <c r="E46" s="17">
        <f t="shared" si="1"/>
        <v>28.95</v>
      </c>
      <c r="F46" s="28"/>
    </row>
    <row r="47" spans="1:10" s="9" customFormat="1">
      <c r="A47" s="21" t="s">
        <v>34</v>
      </c>
      <c r="B47" s="200" t="s">
        <v>168</v>
      </c>
      <c r="C47" s="201"/>
      <c r="D47" s="110">
        <v>6.0000000000000001E-3</v>
      </c>
      <c r="E47" s="17">
        <f t="shared" si="1"/>
        <v>5.79</v>
      </c>
      <c r="F47" s="28"/>
    </row>
    <row r="48" spans="1:10" s="9" customFormat="1">
      <c r="A48" s="116" t="s">
        <v>35</v>
      </c>
      <c r="B48" s="117"/>
      <c r="C48" s="118"/>
      <c r="D48" s="40">
        <f>SUM(D40:D47)</f>
        <v>0.3680000000000001</v>
      </c>
      <c r="E48" s="18">
        <f>TRUNC(SUM(E40:E47),2)</f>
        <v>355.19</v>
      </c>
    </row>
    <row r="49" spans="1:12" s="9" customFormat="1">
      <c r="A49" s="126" t="s">
        <v>36</v>
      </c>
      <c r="B49" s="127"/>
      <c r="C49" s="127"/>
      <c r="D49" s="127"/>
      <c r="E49" s="128"/>
    </row>
    <row r="50" spans="1:12" s="9" customFormat="1">
      <c r="A50" s="33" t="s">
        <v>37</v>
      </c>
      <c r="B50" s="119" t="s">
        <v>97</v>
      </c>
      <c r="C50" s="120"/>
      <c r="D50" s="121"/>
      <c r="E50" s="5" t="s">
        <v>13</v>
      </c>
    </row>
    <row r="51" spans="1:12" s="9" customFormat="1">
      <c r="A51" s="21" t="s">
        <v>1</v>
      </c>
      <c r="B51" s="129" t="s">
        <v>38</v>
      </c>
      <c r="C51" s="130"/>
      <c r="D51" s="41">
        <f>1/12</f>
        <v>8.3333333333333329E-2</v>
      </c>
      <c r="E51" s="13">
        <f>TRUNC(+$E$23*D51,2)</f>
        <v>80.430000000000007</v>
      </c>
    </row>
    <row r="52" spans="1:12" s="9" customFormat="1">
      <c r="A52" s="116" t="s">
        <v>39</v>
      </c>
      <c r="B52" s="117"/>
      <c r="C52" s="202"/>
      <c r="D52" s="42">
        <f>SUM(D51:D51)</f>
        <v>8.3333333333333329E-2</v>
      </c>
      <c r="E52" s="18">
        <f>SUM(E51:E51)</f>
        <v>80.430000000000007</v>
      </c>
    </row>
    <row r="53" spans="1:12" s="9" customFormat="1">
      <c r="A53" s="21" t="s">
        <v>5</v>
      </c>
      <c r="B53" s="137" t="s">
        <v>40</v>
      </c>
      <c r="C53" s="138"/>
      <c r="D53" s="41">
        <f>+D48</f>
        <v>0.3680000000000001</v>
      </c>
      <c r="E53" s="13">
        <f>TRUNC(+E52*D53,2)</f>
        <v>29.59</v>
      </c>
    </row>
    <row r="54" spans="1:12" s="9" customFormat="1">
      <c r="A54" s="116" t="s">
        <v>35</v>
      </c>
      <c r="B54" s="117"/>
      <c r="C54" s="202"/>
      <c r="D54" s="43"/>
      <c r="E54" s="18">
        <f>+E53+E52</f>
        <v>110.02000000000001</v>
      </c>
    </row>
    <row r="55" spans="1:12" s="9" customFormat="1">
      <c r="A55" s="126" t="s">
        <v>41</v>
      </c>
      <c r="B55" s="127"/>
      <c r="C55" s="127"/>
      <c r="D55" s="127"/>
      <c r="E55" s="128"/>
    </row>
    <row r="56" spans="1:12" s="9" customFormat="1">
      <c r="A56" s="33" t="s">
        <v>42</v>
      </c>
      <c r="B56" s="119" t="s">
        <v>43</v>
      </c>
      <c r="C56" s="120"/>
      <c r="D56" s="121"/>
      <c r="E56" s="5" t="s">
        <v>13</v>
      </c>
    </row>
    <row r="57" spans="1:12" s="9" customFormat="1">
      <c r="A57" s="21" t="s">
        <v>1</v>
      </c>
      <c r="B57" s="137" t="s">
        <v>44</v>
      </c>
      <c r="C57" s="138"/>
      <c r="D57" s="111">
        <f>((38.05%*1.96%*47.81*61%)*3%)/1</f>
        <v>6.5250007493999991E-3</v>
      </c>
      <c r="E57" s="13">
        <f>TRUNC(+D57*$E$23,2)</f>
        <v>6.29</v>
      </c>
      <c r="L57" s="44"/>
    </row>
    <row r="58" spans="1:12" s="9" customFormat="1">
      <c r="A58" s="21" t="s">
        <v>3</v>
      </c>
      <c r="B58" s="137" t="s">
        <v>45</v>
      </c>
      <c r="C58" s="138"/>
      <c r="D58" s="34">
        <f>D48</f>
        <v>0.3680000000000001</v>
      </c>
      <c r="E58" s="13">
        <f>ROUND(+D58*E57,2)</f>
        <v>2.31</v>
      </c>
      <c r="F58" s="45"/>
      <c r="L58" s="44"/>
    </row>
    <row r="59" spans="1:12" s="9" customFormat="1">
      <c r="A59" s="116" t="s">
        <v>35</v>
      </c>
      <c r="B59" s="117"/>
      <c r="C59" s="117"/>
      <c r="D59" s="43"/>
      <c r="E59" s="18">
        <f>SUM(E57:E58)</f>
        <v>8.6</v>
      </c>
      <c r="F59" s="46"/>
      <c r="L59" s="44"/>
    </row>
    <row r="60" spans="1:12" s="9" customFormat="1">
      <c r="A60" s="126" t="s">
        <v>46</v>
      </c>
      <c r="B60" s="127"/>
      <c r="C60" s="127"/>
      <c r="D60" s="127"/>
      <c r="E60" s="128"/>
      <c r="F60" s="47"/>
      <c r="L60" s="44"/>
    </row>
    <row r="61" spans="1:12" s="9" customFormat="1">
      <c r="A61" s="33" t="s">
        <v>47</v>
      </c>
      <c r="B61" s="119" t="s">
        <v>48</v>
      </c>
      <c r="C61" s="120"/>
      <c r="D61" s="121"/>
      <c r="E61" s="5" t="s">
        <v>13</v>
      </c>
      <c r="L61" s="48"/>
    </row>
    <row r="62" spans="1:12" s="9" customFormat="1">
      <c r="A62" s="49" t="s">
        <v>1</v>
      </c>
      <c r="B62" s="135" t="s">
        <v>49</v>
      </c>
      <c r="C62" s="136"/>
      <c r="D62" s="50">
        <f>((1/12)*0.05)</f>
        <v>4.1666666666666666E-3</v>
      </c>
      <c r="E62" s="87">
        <f>TRUNC(+$E$23*D62,2)</f>
        <v>4.0199999999999996</v>
      </c>
      <c r="F62" s="46"/>
    </row>
    <row r="63" spans="1:12" s="9" customFormat="1">
      <c r="A63" s="49" t="s">
        <v>3</v>
      </c>
      <c r="B63" s="135" t="s">
        <v>98</v>
      </c>
      <c r="C63" s="136"/>
      <c r="D63" s="50">
        <f>+D45</f>
        <v>0.08</v>
      </c>
      <c r="E63" s="87">
        <f>TRUNC(+E62*D63,2)</f>
        <v>0.32</v>
      </c>
    </row>
    <row r="64" spans="1:12" s="9" customFormat="1" ht="15" customHeight="1">
      <c r="A64" s="49" t="s">
        <v>5</v>
      </c>
      <c r="B64" s="135" t="s">
        <v>104</v>
      </c>
      <c r="C64" s="136"/>
      <c r="D64" s="50">
        <f>(0.08*0.5*0.05)</f>
        <v>2E-3</v>
      </c>
      <c r="E64" s="87">
        <f>TRUNC(+$E$23*D64,2)</f>
        <v>1.93</v>
      </c>
    </row>
    <row r="65" spans="1:6" s="9" customFormat="1">
      <c r="A65" s="49" t="s">
        <v>7</v>
      </c>
      <c r="B65" s="188" t="s">
        <v>50</v>
      </c>
      <c r="C65" s="189"/>
      <c r="D65" s="50">
        <f>((7/30)/12)</f>
        <v>1.9444444444444445E-2</v>
      </c>
      <c r="E65" s="87">
        <f>TRUNC(+D65*$E$23,2)</f>
        <v>18.760000000000002</v>
      </c>
    </row>
    <row r="66" spans="1:6" s="9" customFormat="1" ht="15" customHeight="1">
      <c r="A66" s="49" t="s">
        <v>20</v>
      </c>
      <c r="B66" s="135" t="s">
        <v>99</v>
      </c>
      <c r="C66" s="136"/>
      <c r="D66" s="50">
        <f>+D48</f>
        <v>0.3680000000000001</v>
      </c>
      <c r="E66" s="87">
        <f>TRUNC(+E65*D66,2)</f>
        <v>6.9</v>
      </c>
    </row>
    <row r="67" spans="1:6" s="9" customFormat="1" ht="15" customHeight="1">
      <c r="A67" s="49" t="s">
        <v>21</v>
      </c>
      <c r="B67" s="135" t="s">
        <v>105</v>
      </c>
      <c r="C67" s="136"/>
      <c r="D67" s="50">
        <f>(0.08*0.5)</f>
        <v>0.04</v>
      </c>
      <c r="E67" s="87">
        <f>TRUNC(+E23*D67,2)</f>
        <v>38.61</v>
      </c>
    </row>
    <row r="68" spans="1:6" s="9" customFormat="1">
      <c r="A68" s="210" t="s">
        <v>35</v>
      </c>
      <c r="B68" s="211"/>
      <c r="C68" s="211"/>
      <c r="D68" s="51"/>
      <c r="E68" s="88">
        <f>SUM(E62:E67)</f>
        <v>70.539999999999992</v>
      </c>
    </row>
    <row r="69" spans="1:6" s="9" customFormat="1">
      <c r="A69" s="126" t="s">
        <v>51</v>
      </c>
      <c r="B69" s="127"/>
      <c r="C69" s="127"/>
      <c r="D69" s="127"/>
      <c r="E69" s="128"/>
    </row>
    <row r="70" spans="1:6" s="9" customFormat="1">
      <c r="A70" s="33" t="s">
        <v>52</v>
      </c>
      <c r="B70" s="207" t="s">
        <v>53</v>
      </c>
      <c r="C70" s="208"/>
      <c r="D70" s="209"/>
      <c r="E70" s="5" t="s">
        <v>13</v>
      </c>
    </row>
    <row r="71" spans="1:6" s="9" customFormat="1" ht="16.5" customHeight="1">
      <c r="A71" s="21" t="s">
        <v>1</v>
      </c>
      <c r="B71" s="137" t="s">
        <v>54</v>
      </c>
      <c r="C71" s="138"/>
      <c r="D71" s="34">
        <f>(((1+1/3)/12))</f>
        <v>0.1111111111111111</v>
      </c>
      <c r="E71" s="13">
        <f t="shared" ref="E71:E76" si="2">TRUNC(+D71*$E$23,2)</f>
        <v>107.25</v>
      </c>
      <c r="F71" s="36"/>
    </row>
    <row r="72" spans="1:6" s="9" customFormat="1">
      <c r="A72" s="21" t="s">
        <v>3</v>
      </c>
      <c r="B72" s="137" t="s">
        <v>55</v>
      </c>
      <c r="C72" s="138"/>
      <c r="D72" s="41">
        <v>1.66E-2</v>
      </c>
      <c r="E72" s="13">
        <f t="shared" si="2"/>
        <v>16.02</v>
      </c>
    </row>
    <row r="73" spans="1:6" s="9" customFormat="1">
      <c r="A73" s="21" t="s">
        <v>5</v>
      </c>
      <c r="B73" s="137" t="s">
        <v>56</v>
      </c>
      <c r="C73" s="138"/>
      <c r="D73" s="41">
        <v>2.0000000000000001E-4</v>
      </c>
      <c r="E73" s="13">
        <f t="shared" si="2"/>
        <v>0.19</v>
      </c>
      <c r="F73" s="52"/>
    </row>
    <row r="74" spans="1:6" s="9" customFormat="1">
      <c r="A74" s="21" t="s">
        <v>7</v>
      </c>
      <c r="B74" s="139" t="s">
        <v>57</v>
      </c>
      <c r="C74" s="140"/>
      <c r="D74" s="34">
        <v>2.8E-3</v>
      </c>
      <c r="E74" s="13">
        <f t="shared" si="2"/>
        <v>2.7</v>
      </c>
    </row>
    <row r="75" spans="1:6" s="9" customFormat="1">
      <c r="A75" s="21" t="s">
        <v>20</v>
      </c>
      <c r="B75" s="137" t="s">
        <v>58</v>
      </c>
      <c r="C75" s="138"/>
      <c r="D75" s="112">
        <v>2.9999999999999997E-4</v>
      </c>
      <c r="E75" s="13">
        <f t="shared" si="2"/>
        <v>0.28000000000000003</v>
      </c>
    </row>
    <row r="76" spans="1:6" s="9" customFormat="1">
      <c r="A76" s="21" t="s">
        <v>21</v>
      </c>
      <c r="B76" s="137" t="s">
        <v>23</v>
      </c>
      <c r="C76" s="138"/>
      <c r="D76" s="34">
        <v>0</v>
      </c>
      <c r="E76" s="13">
        <f t="shared" si="2"/>
        <v>0</v>
      </c>
      <c r="F76" s="52"/>
    </row>
    <row r="77" spans="1:6" s="9" customFormat="1">
      <c r="A77" s="116" t="s">
        <v>39</v>
      </c>
      <c r="B77" s="117"/>
      <c r="C77" s="118"/>
      <c r="D77" s="40"/>
      <c r="E77" s="18">
        <f>SUM(E71:E76)</f>
        <v>126.44</v>
      </c>
    </row>
    <row r="78" spans="1:6" s="9" customFormat="1" ht="30">
      <c r="A78" s="21" t="s">
        <v>22</v>
      </c>
      <c r="B78" s="16" t="s">
        <v>59</v>
      </c>
      <c r="C78" s="53"/>
      <c r="D78" s="41">
        <f>+D48</f>
        <v>0.3680000000000001</v>
      </c>
      <c r="E78" s="13">
        <f>TRUNC(+E77*D78,2)</f>
        <v>46.52</v>
      </c>
      <c r="F78" s="52"/>
    </row>
    <row r="79" spans="1:6" s="9" customFormat="1">
      <c r="A79" s="116" t="s">
        <v>35</v>
      </c>
      <c r="B79" s="117"/>
      <c r="C79" s="202"/>
      <c r="D79" s="54"/>
      <c r="E79" s="18">
        <f>SUM(E77:E78)</f>
        <v>172.96</v>
      </c>
    </row>
    <row r="80" spans="1:6" s="9" customFormat="1">
      <c r="A80" s="183" t="s">
        <v>60</v>
      </c>
      <c r="B80" s="184"/>
      <c r="C80" s="184"/>
      <c r="D80" s="184"/>
      <c r="E80" s="185"/>
    </row>
    <row r="81" spans="1:5" s="9" customFormat="1">
      <c r="A81" s="10">
        <v>4</v>
      </c>
      <c r="B81" s="119" t="s">
        <v>61</v>
      </c>
      <c r="C81" s="120"/>
      <c r="D81" s="121"/>
      <c r="E81" s="5" t="s">
        <v>13</v>
      </c>
    </row>
    <row r="82" spans="1:5" s="9" customFormat="1" ht="30" customHeight="1">
      <c r="A82" s="21" t="s">
        <v>32</v>
      </c>
      <c r="B82" s="132" t="s">
        <v>62</v>
      </c>
      <c r="C82" s="133"/>
      <c r="D82" s="134"/>
      <c r="E82" s="13">
        <f>+E48</f>
        <v>355.19</v>
      </c>
    </row>
    <row r="83" spans="1:5" s="9" customFormat="1">
      <c r="A83" s="21" t="s">
        <v>37</v>
      </c>
      <c r="B83" s="132" t="s">
        <v>63</v>
      </c>
      <c r="C83" s="133"/>
      <c r="D83" s="134"/>
      <c r="E83" s="13">
        <f>+E54</f>
        <v>110.02000000000001</v>
      </c>
    </row>
    <row r="84" spans="1:5" s="9" customFormat="1">
      <c r="A84" s="21" t="s">
        <v>42</v>
      </c>
      <c r="B84" s="132" t="s">
        <v>44</v>
      </c>
      <c r="C84" s="133"/>
      <c r="D84" s="134"/>
      <c r="E84" s="13">
        <f>+E59</f>
        <v>8.6</v>
      </c>
    </row>
    <row r="85" spans="1:5" s="9" customFormat="1">
      <c r="A85" s="21" t="s">
        <v>47</v>
      </c>
      <c r="B85" s="132" t="s">
        <v>64</v>
      </c>
      <c r="C85" s="133"/>
      <c r="D85" s="134"/>
      <c r="E85" s="13">
        <f>E68</f>
        <v>70.539999999999992</v>
      </c>
    </row>
    <row r="86" spans="1:5" s="9" customFormat="1">
      <c r="A86" s="21" t="s">
        <v>52</v>
      </c>
      <c r="B86" s="132" t="s">
        <v>65</v>
      </c>
      <c r="C86" s="133"/>
      <c r="D86" s="134"/>
      <c r="E86" s="13">
        <f>+E79</f>
        <v>172.96</v>
      </c>
    </row>
    <row r="87" spans="1:5" s="9" customFormat="1">
      <c r="A87" s="21" t="s">
        <v>66</v>
      </c>
      <c r="B87" s="132" t="s">
        <v>23</v>
      </c>
      <c r="C87" s="133"/>
      <c r="D87" s="134"/>
      <c r="E87" s="13">
        <f t="shared" ref="E87" si="3">+$E$23*D87</f>
        <v>0</v>
      </c>
    </row>
    <row r="88" spans="1:5" s="19" customFormat="1" ht="15" customHeight="1">
      <c r="A88" s="186" t="s">
        <v>67</v>
      </c>
      <c r="B88" s="187"/>
      <c r="C88" s="187"/>
      <c r="D88" s="190"/>
      <c r="E88" s="18">
        <f>SUM(E82:E87)</f>
        <v>717.31000000000006</v>
      </c>
    </row>
    <row r="89" spans="1:5" s="19" customFormat="1" ht="29.25" customHeight="1">
      <c r="A89" s="186" t="s">
        <v>68</v>
      </c>
      <c r="B89" s="187"/>
      <c r="C89" s="187"/>
      <c r="D89" s="55"/>
      <c r="E89" s="18">
        <f>+E23+E31+E36+E88</f>
        <v>2002.87</v>
      </c>
    </row>
    <row r="90" spans="1:5" s="9" customFormat="1">
      <c r="A90" s="126" t="s">
        <v>69</v>
      </c>
      <c r="B90" s="127"/>
      <c r="C90" s="127" t="s">
        <v>70</v>
      </c>
      <c r="D90" s="128" t="s">
        <v>71</v>
      </c>
      <c r="E90" s="8"/>
    </row>
    <row r="91" spans="1:5" s="9" customFormat="1">
      <c r="A91" s="10">
        <v>5</v>
      </c>
      <c r="B91" s="119" t="s">
        <v>72</v>
      </c>
      <c r="C91" s="120"/>
      <c r="D91" s="121"/>
      <c r="E91" s="56" t="s">
        <v>13</v>
      </c>
    </row>
    <row r="92" spans="1:5" s="9" customFormat="1">
      <c r="A92" s="108" t="s">
        <v>1</v>
      </c>
      <c r="B92" s="57" t="s">
        <v>73</v>
      </c>
      <c r="C92" s="194">
        <v>0</v>
      </c>
      <c r="D92" s="195"/>
      <c r="E92" s="13">
        <f>+E89*C92</f>
        <v>0</v>
      </c>
    </row>
    <row r="93" spans="1:5" s="9" customFormat="1">
      <c r="A93" s="108" t="s">
        <v>3</v>
      </c>
      <c r="B93" s="57" t="s">
        <v>74</v>
      </c>
      <c r="C93" s="194">
        <v>0</v>
      </c>
      <c r="D93" s="195"/>
      <c r="E93" s="13">
        <f>C93*(+E89+E92)</f>
        <v>0</v>
      </c>
    </row>
    <row r="94" spans="1:5" s="9" customFormat="1" ht="27" customHeight="1">
      <c r="A94" s="196" t="s">
        <v>5</v>
      </c>
      <c r="B94" s="215" t="s">
        <v>94</v>
      </c>
      <c r="C94" s="216"/>
      <c r="D94" s="25">
        <f>+(100-8.65)/100</f>
        <v>0.91349999999999998</v>
      </c>
      <c r="E94" s="17">
        <f>+E89+E92+E93</f>
        <v>2002.87</v>
      </c>
    </row>
    <row r="95" spans="1:5" s="9" customFormat="1">
      <c r="A95" s="196"/>
      <c r="B95" s="109" t="s">
        <v>75</v>
      </c>
      <c r="E95" s="89">
        <f>+E94/D94</f>
        <v>2192.5232621784344</v>
      </c>
    </row>
    <row r="96" spans="1:5" s="9" customFormat="1">
      <c r="A96" s="196"/>
      <c r="B96" s="58" t="s">
        <v>76</v>
      </c>
      <c r="C96" s="59"/>
      <c r="D96" s="60"/>
      <c r="E96" s="13"/>
    </row>
    <row r="97" spans="1:6" s="9" customFormat="1">
      <c r="A97" s="196"/>
      <c r="B97" s="61" t="s">
        <v>101</v>
      </c>
      <c r="C97" s="62"/>
      <c r="D97" s="78">
        <v>6.4999999999999997E-3</v>
      </c>
      <c r="E97" s="13">
        <f>+E95*D97</f>
        <v>14.251401204159823</v>
      </c>
      <c r="F97" s="52"/>
    </row>
    <row r="98" spans="1:6" s="9" customFormat="1">
      <c r="A98" s="196"/>
      <c r="B98" s="61" t="s">
        <v>102</v>
      </c>
      <c r="C98" s="62"/>
      <c r="D98" s="78">
        <v>0.03</v>
      </c>
      <c r="E98" s="13">
        <f>+E95*D98</f>
        <v>65.775697865353024</v>
      </c>
    </row>
    <row r="99" spans="1:6" s="9" customFormat="1">
      <c r="A99" s="196"/>
      <c r="B99" s="63" t="s">
        <v>77</v>
      </c>
      <c r="C99" s="64"/>
      <c r="D99" s="65"/>
      <c r="E99" s="13"/>
    </row>
    <row r="100" spans="1:6" s="9" customFormat="1">
      <c r="A100" s="196"/>
      <c r="B100" s="63" t="s">
        <v>78</v>
      </c>
      <c r="C100" s="64"/>
      <c r="D100" s="66"/>
      <c r="E100" s="13"/>
    </row>
    <row r="101" spans="1:6" s="9" customFormat="1" ht="15.75" thickBot="1">
      <c r="A101" s="197"/>
      <c r="B101" s="67" t="s">
        <v>103</v>
      </c>
      <c r="C101" s="68"/>
      <c r="D101" s="79">
        <v>0.05</v>
      </c>
      <c r="E101" s="90">
        <f>+E95*D101</f>
        <v>109.62616310892173</v>
      </c>
    </row>
    <row r="102" spans="1:6" s="9" customFormat="1" ht="15.75" thickBot="1">
      <c r="A102" s="69"/>
      <c r="B102" s="70" t="s">
        <v>79</v>
      </c>
      <c r="C102" s="70"/>
      <c r="D102" s="71">
        <f>SUM(D97:D101)</f>
        <v>8.6499999999999994E-2</v>
      </c>
      <c r="E102" s="91">
        <f>SUM(E97:E101)</f>
        <v>189.65326217843457</v>
      </c>
    </row>
    <row r="103" spans="1:6" s="19" customFormat="1">
      <c r="A103" s="191" t="s">
        <v>80</v>
      </c>
      <c r="B103" s="192"/>
      <c r="C103" s="192"/>
      <c r="D103" s="193"/>
      <c r="E103" s="92">
        <f>+E92+E93+E102</f>
        <v>189.65326217843457</v>
      </c>
    </row>
    <row r="104" spans="1:6" s="9" customFormat="1">
      <c r="A104" s="186" t="s">
        <v>81</v>
      </c>
      <c r="B104" s="187"/>
      <c r="C104" s="187"/>
      <c r="D104" s="190"/>
      <c r="E104" s="72" t="s">
        <v>13</v>
      </c>
    </row>
    <row r="105" spans="1:6" s="9" customFormat="1">
      <c r="A105" s="108" t="s">
        <v>1</v>
      </c>
      <c r="B105" s="212" t="s">
        <v>82</v>
      </c>
      <c r="C105" s="213"/>
      <c r="D105" s="214"/>
      <c r="E105" s="13">
        <f>+E23</f>
        <v>965.25</v>
      </c>
    </row>
    <row r="106" spans="1:6" s="9" customFormat="1">
      <c r="A106" s="108" t="s">
        <v>3</v>
      </c>
      <c r="B106" s="212" t="s">
        <v>83</v>
      </c>
      <c r="C106" s="213"/>
      <c r="D106" s="214"/>
      <c r="E106" s="13">
        <f>+E31</f>
        <v>320.31</v>
      </c>
    </row>
    <row r="107" spans="1:6" s="9" customFormat="1">
      <c r="A107" s="108" t="s">
        <v>5</v>
      </c>
      <c r="B107" s="212" t="s">
        <v>84</v>
      </c>
      <c r="C107" s="213"/>
      <c r="D107" s="214"/>
      <c r="E107" s="13">
        <f>+E36</f>
        <v>0</v>
      </c>
    </row>
    <row r="108" spans="1:6" s="9" customFormat="1">
      <c r="A108" s="108" t="s">
        <v>7</v>
      </c>
      <c r="B108" s="212" t="s">
        <v>85</v>
      </c>
      <c r="C108" s="213"/>
      <c r="D108" s="214"/>
      <c r="E108" s="13">
        <f>+E88</f>
        <v>717.31000000000006</v>
      </c>
    </row>
    <row r="109" spans="1:6" s="9" customFormat="1">
      <c r="A109" s="116" t="s">
        <v>86</v>
      </c>
      <c r="B109" s="117"/>
      <c r="C109" s="202"/>
      <c r="D109" s="73"/>
      <c r="E109" s="18">
        <f>SUM(E105:E108)</f>
        <v>2002.87</v>
      </c>
    </row>
    <row r="110" spans="1:6" s="9" customFormat="1">
      <c r="A110" s="108" t="s">
        <v>20</v>
      </c>
      <c r="B110" s="212" t="s">
        <v>87</v>
      </c>
      <c r="C110" s="213"/>
      <c r="D110" s="214"/>
      <c r="E110" s="13">
        <f>+E103</f>
        <v>189.65326217843457</v>
      </c>
    </row>
    <row r="111" spans="1:6" s="19" customFormat="1" ht="15.75">
      <c r="A111" s="204" t="s">
        <v>88</v>
      </c>
      <c r="B111" s="205"/>
      <c r="C111" s="205"/>
      <c r="D111" s="206"/>
      <c r="E111" s="93">
        <f>+E109+E110</f>
        <v>2192.5232621784344</v>
      </c>
    </row>
    <row r="112" spans="1:6">
      <c r="A112" s="74" t="s">
        <v>89</v>
      </c>
      <c r="E112" s="77">
        <f>+E111/E105</f>
        <v>2.2714563710732292</v>
      </c>
    </row>
  </sheetData>
  <sheetProtection password="CAC1" sheet="1" objects="1" scenarios="1"/>
  <mergeCells count="97">
    <mergeCell ref="A111:D111"/>
    <mergeCell ref="C93:D93"/>
    <mergeCell ref="A94:A101"/>
    <mergeCell ref="B94:C94"/>
    <mergeCell ref="A103:D103"/>
    <mergeCell ref="A104:D104"/>
    <mergeCell ref="B105:D105"/>
    <mergeCell ref="B106:D106"/>
    <mergeCell ref="B107:D107"/>
    <mergeCell ref="B108:D108"/>
    <mergeCell ref="A109:C109"/>
    <mergeCell ref="B110:D110"/>
    <mergeCell ref="C92:D92"/>
    <mergeCell ref="B81:D81"/>
    <mergeCell ref="B82:D82"/>
    <mergeCell ref="B83:D83"/>
    <mergeCell ref="B84:D84"/>
    <mergeCell ref="B85:D85"/>
    <mergeCell ref="B86:D86"/>
    <mergeCell ref="B87:D87"/>
    <mergeCell ref="A88:D88"/>
    <mergeCell ref="A89:C89"/>
    <mergeCell ref="A90:D90"/>
    <mergeCell ref="B91:D91"/>
    <mergeCell ref="A80:E80"/>
    <mergeCell ref="A68:C68"/>
    <mergeCell ref="A69:E69"/>
    <mergeCell ref="B70:D70"/>
    <mergeCell ref="B71:C71"/>
    <mergeCell ref="B72:C72"/>
    <mergeCell ref="B73:C73"/>
    <mergeCell ref="B74:C74"/>
    <mergeCell ref="B75:C75"/>
    <mergeCell ref="B76:C76"/>
    <mergeCell ref="A77:C77"/>
    <mergeCell ref="A79:C79"/>
    <mergeCell ref="B67:C67"/>
    <mergeCell ref="B56:D56"/>
    <mergeCell ref="B57:C57"/>
    <mergeCell ref="B58:C58"/>
    <mergeCell ref="A59:C59"/>
    <mergeCell ref="A60:E60"/>
    <mergeCell ref="B61:D61"/>
    <mergeCell ref="B62:C62"/>
    <mergeCell ref="B63:C63"/>
    <mergeCell ref="B64:C64"/>
    <mergeCell ref="B65:C65"/>
    <mergeCell ref="B66:C66"/>
    <mergeCell ref="A55:E55"/>
    <mergeCell ref="B44:C44"/>
    <mergeCell ref="B45:C45"/>
    <mergeCell ref="B46:C46"/>
    <mergeCell ref="B47:C47"/>
    <mergeCell ref="A48:C48"/>
    <mergeCell ref="A49:E49"/>
    <mergeCell ref="B50:D50"/>
    <mergeCell ref="B51:C51"/>
    <mergeCell ref="A52:C52"/>
    <mergeCell ref="B53:C53"/>
    <mergeCell ref="A54:C54"/>
    <mergeCell ref="B43:C43"/>
    <mergeCell ref="A23:D23"/>
    <mergeCell ref="A24:D24"/>
    <mergeCell ref="A31:D31"/>
    <mergeCell ref="A32:E32"/>
    <mergeCell ref="A36:D36"/>
    <mergeCell ref="A37:E37"/>
    <mergeCell ref="A38:E38"/>
    <mergeCell ref="B39:C39"/>
    <mergeCell ref="B40:C40"/>
    <mergeCell ref="B41:C41"/>
    <mergeCell ref="B42:C42"/>
    <mergeCell ref="C22:D22"/>
    <mergeCell ref="C16:E16"/>
    <mergeCell ref="C17:E17"/>
    <mergeCell ref="C18:E18"/>
    <mergeCell ref="A19:D19"/>
    <mergeCell ref="B20:D20"/>
    <mergeCell ref="C21:D21"/>
    <mergeCell ref="A14:D14"/>
    <mergeCell ref="C15:E15"/>
    <mergeCell ref="C6:E6"/>
    <mergeCell ref="C7:E7"/>
    <mergeCell ref="C8:E8"/>
    <mergeCell ref="A9:E9"/>
    <mergeCell ref="A10:B10"/>
    <mergeCell ref="C10:E10"/>
    <mergeCell ref="C5:E5"/>
    <mergeCell ref="A11:B11"/>
    <mergeCell ref="C11:E11"/>
    <mergeCell ref="A12:E12"/>
    <mergeCell ref="A13:E13"/>
    <mergeCell ref="A2:C2"/>
    <mergeCell ref="D2:E2"/>
    <mergeCell ref="A3:C3"/>
    <mergeCell ref="D3:E3"/>
    <mergeCell ref="A4:E4"/>
  </mergeCells>
  <printOptions horizontalCentered="1"/>
  <pageMargins left="3.937007874015748E-2" right="3.937007874015748E-2" top="0.15748031496062992" bottom="0.15748031496062992" header="0.31496062992125984" footer="0"/>
  <pageSetup paperSize="9" scale="58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12"/>
  <sheetViews>
    <sheetView showGridLines="0" zoomScale="90" zoomScaleNormal="90" zoomScaleSheetLayoutView="145" zoomScalePageLayoutView="55" workbookViewId="0">
      <pane xSplit="1" topLeftCell="B1" activePane="topRight" state="frozen"/>
      <selection activeCell="A10" sqref="A10"/>
      <selection pane="topRight" sqref="A1:XFD1048576"/>
    </sheetView>
  </sheetViews>
  <sheetFormatPr defaultRowHeight="15"/>
  <cols>
    <col min="1" max="1" width="9.140625" style="74" customWidth="1"/>
    <col min="2" max="2" width="45.7109375" style="75" bestFit="1" customWidth="1"/>
    <col min="3" max="3" width="24.28515625" style="75" customWidth="1"/>
    <col min="4" max="4" width="14.5703125" style="76" customWidth="1"/>
    <col min="5" max="5" width="16.28515625" style="77" customWidth="1"/>
    <col min="6" max="6" width="31.85546875" style="1" customWidth="1"/>
    <col min="7" max="7" width="5.5703125" style="1" customWidth="1"/>
    <col min="8" max="8" width="11.140625" style="1" hidden="1" customWidth="1"/>
    <col min="9" max="9" width="22" style="1" customWidth="1"/>
    <col min="10" max="16384" width="9.140625" style="1"/>
  </cols>
  <sheetData>
    <row r="2" spans="1:5" ht="15" customHeight="1">
      <c r="A2" s="141" t="s">
        <v>90</v>
      </c>
      <c r="B2" s="142"/>
      <c r="C2" s="143"/>
      <c r="D2" s="144"/>
      <c r="E2" s="145"/>
    </row>
    <row r="3" spans="1:5" ht="15" customHeight="1">
      <c r="A3" s="141" t="s">
        <v>91</v>
      </c>
      <c r="B3" s="142"/>
      <c r="C3" s="143"/>
      <c r="D3" s="217"/>
      <c r="E3" s="145"/>
    </row>
    <row r="4" spans="1:5" s="2" customFormat="1">
      <c r="A4" s="150" t="s">
        <v>0</v>
      </c>
      <c r="B4" s="151"/>
      <c r="C4" s="151"/>
      <c r="D4" s="151"/>
      <c r="E4" s="152"/>
    </row>
    <row r="5" spans="1:5">
      <c r="A5" s="3" t="s">
        <v>1</v>
      </c>
      <c r="B5" s="4" t="s">
        <v>2</v>
      </c>
      <c r="C5" s="153">
        <v>42583</v>
      </c>
      <c r="D5" s="154"/>
      <c r="E5" s="155"/>
    </row>
    <row r="6" spans="1:5">
      <c r="A6" s="3" t="s">
        <v>3</v>
      </c>
      <c r="B6" s="4" t="s">
        <v>4</v>
      </c>
      <c r="C6" s="156" t="s">
        <v>146</v>
      </c>
      <c r="D6" s="157"/>
      <c r="E6" s="158"/>
    </row>
    <row r="7" spans="1:5" ht="30">
      <c r="A7" s="3" t="s">
        <v>5</v>
      </c>
      <c r="B7" s="4" t="s">
        <v>6</v>
      </c>
      <c r="C7" s="153" t="str">
        <f>'Recife SEDE'!C7:E7</f>
        <v>2016/2016 - Registro no MTE: PE000143/2016</v>
      </c>
      <c r="D7" s="154"/>
      <c r="E7" s="155"/>
    </row>
    <row r="8" spans="1:5">
      <c r="A8" s="3" t="s">
        <v>7</v>
      </c>
      <c r="B8" s="4" t="s">
        <v>92</v>
      </c>
      <c r="C8" s="156" t="s">
        <v>96</v>
      </c>
      <c r="D8" s="157"/>
      <c r="E8" s="158"/>
    </row>
    <row r="9" spans="1:5" s="2" customFormat="1">
      <c r="A9" s="159" t="s">
        <v>8</v>
      </c>
      <c r="B9" s="160"/>
      <c r="C9" s="160"/>
      <c r="D9" s="160"/>
      <c r="E9" s="161"/>
    </row>
    <row r="10" spans="1:5" ht="15" customHeight="1">
      <c r="A10" s="162" t="s">
        <v>9</v>
      </c>
      <c r="B10" s="163"/>
      <c r="C10" s="147" t="s">
        <v>109</v>
      </c>
      <c r="D10" s="148"/>
      <c r="E10" s="149"/>
    </row>
    <row r="11" spans="1:5">
      <c r="A11" s="154" t="s">
        <v>140</v>
      </c>
      <c r="B11" s="155"/>
      <c r="C11" s="164">
        <v>1</v>
      </c>
      <c r="D11" s="164"/>
      <c r="E11" s="164"/>
    </row>
    <row r="12" spans="1:5" s="2" customFormat="1">
      <c r="A12" s="165" t="s">
        <v>10</v>
      </c>
      <c r="B12" s="166"/>
      <c r="C12" s="166"/>
      <c r="D12" s="166"/>
      <c r="E12" s="167"/>
    </row>
    <row r="13" spans="1:5" s="2" customFormat="1">
      <c r="A13" s="168" t="s">
        <v>11</v>
      </c>
      <c r="B13" s="169"/>
      <c r="C13" s="169"/>
      <c r="D13" s="169"/>
      <c r="E13" s="170"/>
    </row>
    <row r="14" spans="1:5" ht="15" customHeight="1">
      <c r="A14" s="174" t="s">
        <v>12</v>
      </c>
      <c r="B14" s="175"/>
      <c r="C14" s="175"/>
      <c r="D14" s="176"/>
      <c r="E14" s="5" t="s">
        <v>13</v>
      </c>
    </row>
    <row r="15" spans="1:5" ht="30">
      <c r="A15" s="3">
        <v>1</v>
      </c>
      <c r="B15" s="6" t="s">
        <v>93</v>
      </c>
      <c r="C15" s="177" t="s">
        <v>140</v>
      </c>
      <c r="D15" s="178"/>
      <c r="E15" s="179"/>
    </row>
    <row r="16" spans="1:5">
      <c r="A16" s="3">
        <v>2</v>
      </c>
      <c r="B16" s="6" t="s">
        <v>14</v>
      </c>
      <c r="C16" s="171">
        <v>965.25</v>
      </c>
      <c r="D16" s="172"/>
      <c r="E16" s="173"/>
    </row>
    <row r="17" spans="1:9" ht="30">
      <c r="A17" s="3">
        <v>3</v>
      </c>
      <c r="B17" s="6" t="s">
        <v>15</v>
      </c>
      <c r="C17" s="177" t="s">
        <v>140</v>
      </c>
      <c r="D17" s="178"/>
      <c r="E17" s="179"/>
    </row>
    <row r="18" spans="1:9">
      <c r="A18" s="3">
        <v>4</v>
      </c>
      <c r="B18" s="7" t="s">
        <v>16</v>
      </c>
      <c r="C18" s="180" t="s">
        <v>108</v>
      </c>
      <c r="D18" s="181"/>
      <c r="E18" s="182"/>
    </row>
    <row r="19" spans="1:9" s="9" customFormat="1">
      <c r="A19" s="183" t="s">
        <v>17</v>
      </c>
      <c r="B19" s="184"/>
      <c r="C19" s="184"/>
      <c r="D19" s="185"/>
      <c r="E19" s="8"/>
    </row>
    <row r="20" spans="1:9" s="9" customFormat="1">
      <c r="A20" s="10">
        <v>1</v>
      </c>
      <c r="B20" s="119" t="s">
        <v>18</v>
      </c>
      <c r="C20" s="120"/>
      <c r="D20" s="121"/>
      <c r="E20" s="5" t="s">
        <v>13</v>
      </c>
    </row>
    <row r="21" spans="1:9">
      <c r="A21" s="11" t="s">
        <v>1</v>
      </c>
      <c r="B21" s="12" t="s">
        <v>19</v>
      </c>
      <c r="C21" s="122"/>
      <c r="D21" s="123"/>
      <c r="E21" s="13">
        <f>+C16</f>
        <v>965.25</v>
      </c>
      <c r="H21" s="1">
        <f>+$E$21*2</f>
        <v>1930.5</v>
      </c>
    </row>
    <row r="22" spans="1:9">
      <c r="A22" s="11" t="s">
        <v>3</v>
      </c>
      <c r="B22" s="16" t="s">
        <v>23</v>
      </c>
      <c r="C22" s="124"/>
      <c r="D22" s="125"/>
      <c r="E22" s="14">
        <f>C22*$C$16</f>
        <v>0</v>
      </c>
      <c r="F22" s="15"/>
      <c r="H22" s="1">
        <f t="shared" ref="H22" si="0">+$E$21*2</f>
        <v>1930.5</v>
      </c>
    </row>
    <row r="23" spans="1:9" s="19" customFormat="1" ht="15" customHeight="1">
      <c r="A23" s="113" t="s">
        <v>24</v>
      </c>
      <c r="B23" s="114"/>
      <c r="C23" s="114"/>
      <c r="D23" s="115"/>
      <c r="E23" s="18">
        <f>TRUNC(SUM(E21:E22),2)</f>
        <v>965.25</v>
      </c>
      <c r="F23" s="15"/>
    </row>
    <row r="24" spans="1:9" s="9" customFormat="1">
      <c r="A24" s="126" t="s">
        <v>95</v>
      </c>
      <c r="B24" s="127"/>
      <c r="C24" s="127"/>
      <c r="D24" s="128"/>
      <c r="E24" s="8"/>
      <c r="F24" s="15"/>
    </row>
    <row r="25" spans="1:9">
      <c r="A25" s="10">
        <v>2</v>
      </c>
      <c r="B25" s="20" t="s">
        <v>25</v>
      </c>
      <c r="C25" s="20" t="s">
        <v>110</v>
      </c>
      <c r="D25" s="20" t="s">
        <v>111</v>
      </c>
      <c r="E25" s="5" t="s">
        <v>13</v>
      </c>
      <c r="F25" s="15"/>
    </row>
    <row r="26" spans="1:9">
      <c r="A26" s="21" t="s">
        <v>1</v>
      </c>
      <c r="B26" s="16" t="s">
        <v>100</v>
      </c>
      <c r="C26" s="3">
        <v>44</v>
      </c>
      <c r="D26" s="100">
        <v>2.8</v>
      </c>
      <c r="E26" s="22">
        <f>+TRUNC((C26*D26)-(C16*0.06),2)</f>
        <v>65.28</v>
      </c>
      <c r="F26" s="15"/>
      <c r="I26" s="15"/>
    </row>
    <row r="27" spans="1:9">
      <c r="A27" s="21" t="s">
        <v>3</v>
      </c>
      <c r="B27" s="16" t="s">
        <v>133</v>
      </c>
      <c r="C27" s="3">
        <v>22</v>
      </c>
      <c r="D27" s="85">
        <v>6.66</v>
      </c>
      <c r="E27" s="22">
        <f>TRUNC((C27*D27)*0.8,2)</f>
        <v>117.21</v>
      </c>
      <c r="F27" s="23"/>
      <c r="I27" s="15"/>
    </row>
    <row r="28" spans="1:9">
      <c r="A28" s="21" t="s">
        <v>5</v>
      </c>
      <c r="B28" s="16" t="s">
        <v>132</v>
      </c>
      <c r="C28" s="3">
        <v>1</v>
      </c>
      <c r="D28" s="85">
        <v>100</v>
      </c>
      <c r="E28" s="22">
        <f>TRUNC((C28*D28),2)</f>
        <v>100</v>
      </c>
      <c r="F28" s="15"/>
      <c r="I28" s="15"/>
    </row>
    <row r="29" spans="1:9">
      <c r="A29" s="21" t="s">
        <v>7</v>
      </c>
      <c r="B29" s="16" t="s">
        <v>134</v>
      </c>
      <c r="C29" s="3">
        <v>1</v>
      </c>
      <c r="D29" s="85">
        <v>37.82</v>
      </c>
      <c r="E29" s="22">
        <f>TRUNC((C29*D29),2)</f>
        <v>37.82</v>
      </c>
      <c r="I29" s="15"/>
    </row>
    <row r="30" spans="1:9">
      <c r="A30" s="21" t="s">
        <v>20</v>
      </c>
      <c r="B30" s="16" t="s">
        <v>106</v>
      </c>
      <c r="C30" s="3">
        <v>0</v>
      </c>
      <c r="D30" s="85">
        <v>0</v>
      </c>
      <c r="E30" s="22">
        <f>TRUNC((C30*D30),2)</f>
        <v>0</v>
      </c>
      <c r="I30" s="15"/>
    </row>
    <row r="31" spans="1:9" s="19" customFormat="1" ht="15" customHeight="1">
      <c r="A31" s="113" t="s">
        <v>26</v>
      </c>
      <c r="B31" s="114"/>
      <c r="C31" s="114"/>
      <c r="D31" s="115"/>
      <c r="E31" s="18">
        <f>SUM(E26:E30)</f>
        <v>320.31</v>
      </c>
    </row>
    <row r="32" spans="1:9" s="9" customFormat="1">
      <c r="A32" s="126" t="s">
        <v>27</v>
      </c>
      <c r="B32" s="127"/>
      <c r="C32" s="127"/>
      <c r="D32" s="127"/>
      <c r="E32" s="128"/>
    </row>
    <row r="33" spans="1:10" s="9" customFormat="1">
      <c r="A33" s="10">
        <v>3</v>
      </c>
      <c r="B33" s="20" t="s">
        <v>28</v>
      </c>
      <c r="C33" s="20" t="s">
        <v>110</v>
      </c>
      <c r="D33" s="20" t="s">
        <v>111</v>
      </c>
      <c r="E33" s="5" t="s">
        <v>13</v>
      </c>
    </row>
    <row r="34" spans="1:10" s="9" customFormat="1">
      <c r="A34" s="21" t="s">
        <v>1</v>
      </c>
      <c r="B34" s="16" t="s">
        <v>167</v>
      </c>
      <c r="C34" s="24">
        <v>1</v>
      </c>
      <c r="D34" s="13">
        <f>Uniforme!G12</f>
        <v>0</v>
      </c>
      <c r="E34" s="13">
        <f>TRUNC((C34*D34),2)</f>
        <v>0</v>
      </c>
      <c r="F34" s="26"/>
    </row>
    <row r="35" spans="1:10" s="9" customFormat="1">
      <c r="A35" s="21" t="s">
        <v>3</v>
      </c>
      <c r="B35" s="16" t="s">
        <v>107</v>
      </c>
      <c r="C35" s="27">
        <v>0</v>
      </c>
      <c r="D35" s="86">
        <v>0</v>
      </c>
      <c r="E35" s="13">
        <f>TRUNC((C35*D35),2)</f>
        <v>0</v>
      </c>
    </row>
    <row r="36" spans="1:10" s="19" customFormat="1" ht="15" customHeight="1">
      <c r="A36" s="113" t="s">
        <v>29</v>
      </c>
      <c r="B36" s="114"/>
      <c r="C36" s="114"/>
      <c r="D36" s="115"/>
      <c r="E36" s="18">
        <f>SUM(E34:E35)</f>
        <v>0</v>
      </c>
      <c r="F36" s="28"/>
      <c r="H36" s="32"/>
      <c r="J36" s="30"/>
    </row>
    <row r="37" spans="1:10" s="9" customFormat="1">
      <c r="A37" s="126" t="s">
        <v>30</v>
      </c>
      <c r="B37" s="127"/>
      <c r="C37" s="127"/>
      <c r="D37" s="127"/>
      <c r="E37" s="128"/>
      <c r="F37" s="28"/>
      <c r="H37" s="29"/>
      <c r="J37" s="30"/>
    </row>
    <row r="38" spans="1:10" s="9" customFormat="1">
      <c r="A38" s="126" t="s">
        <v>31</v>
      </c>
      <c r="B38" s="127"/>
      <c r="C38" s="127"/>
      <c r="D38" s="127"/>
      <c r="E38" s="128"/>
      <c r="F38" s="28"/>
      <c r="H38" s="29"/>
      <c r="J38" s="30"/>
    </row>
    <row r="39" spans="1:10" s="9" customFormat="1">
      <c r="A39" s="33" t="s">
        <v>32</v>
      </c>
      <c r="B39" s="119" t="s">
        <v>33</v>
      </c>
      <c r="C39" s="203"/>
      <c r="D39" s="20" t="s">
        <v>130</v>
      </c>
      <c r="E39" s="5" t="s">
        <v>13</v>
      </c>
      <c r="F39" s="28"/>
      <c r="H39" s="29"/>
      <c r="J39" s="30"/>
    </row>
    <row r="40" spans="1:10" s="9" customFormat="1">
      <c r="A40" s="21" t="s">
        <v>1</v>
      </c>
      <c r="B40" s="129" t="s">
        <v>127</v>
      </c>
      <c r="C40" s="130"/>
      <c r="D40" s="34">
        <v>0.2</v>
      </c>
      <c r="E40" s="17">
        <f>TRUNC($E$23*D40,2)</f>
        <v>193.05</v>
      </c>
      <c r="F40" s="28"/>
      <c r="H40" s="29"/>
      <c r="J40" s="30"/>
    </row>
    <row r="41" spans="1:10" s="9" customFormat="1">
      <c r="A41" s="21" t="s">
        <v>3</v>
      </c>
      <c r="B41" s="129" t="s">
        <v>128</v>
      </c>
      <c r="C41" s="130"/>
      <c r="D41" s="34">
        <v>1.4999999999999999E-2</v>
      </c>
      <c r="E41" s="17">
        <f t="shared" ref="E41:E47" si="1">TRUNC($E$23*D41,2)</f>
        <v>14.47</v>
      </c>
      <c r="F41" s="28"/>
      <c r="H41" s="29"/>
      <c r="J41" s="30"/>
    </row>
    <row r="42" spans="1:10" s="9" customFormat="1">
      <c r="A42" s="21" t="s">
        <v>5</v>
      </c>
      <c r="B42" s="129" t="s">
        <v>125</v>
      </c>
      <c r="C42" s="130"/>
      <c r="D42" s="34">
        <v>0.01</v>
      </c>
      <c r="E42" s="17">
        <f t="shared" si="1"/>
        <v>9.65</v>
      </c>
      <c r="F42" s="28"/>
      <c r="H42" s="35"/>
      <c r="J42" s="36"/>
    </row>
    <row r="43" spans="1:10" s="9" customFormat="1">
      <c r="A43" s="21" t="s">
        <v>7</v>
      </c>
      <c r="B43" s="131" t="s">
        <v>165</v>
      </c>
      <c r="C43" s="130"/>
      <c r="D43" s="110">
        <v>2E-3</v>
      </c>
      <c r="E43" s="17">
        <f t="shared" si="1"/>
        <v>1.93</v>
      </c>
      <c r="F43" s="28"/>
    </row>
    <row r="44" spans="1:10" s="9" customFormat="1">
      <c r="A44" s="21" t="s">
        <v>20</v>
      </c>
      <c r="B44" s="129" t="s">
        <v>126</v>
      </c>
      <c r="C44" s="130"/>
      <c r="D44" s="34">
        <v>2.5000000000000001E-2</v>
      </c>
      <c r="E44" s="17">
        <f t="shared" si="1"/>
        <v>24.13</v>
      </c>
      <c r="F44" s="37"/>
      <c r="H44" s="38"/>
      <c r="I44" s="39"/>
      <c r="J44" s="38"/>
    </row>
    <row r="45" spans="1:10" s="9" customFormat="1">
      <c r="A45" s="21" t="s">
        <v>21</v>
      </c>
      <c r="B45" s="129" t="s">
        <v>129</v>
      </c>
      <c r="C45" s="130"/>
      <c r="D45" s="34">
        <v>0.08</v>
      </c>
      <c r="E45" s="17">
        <f t="shared" si="1"/>
        <v>77.22</v>
      </c>
      <c r="F45" s="28"/>
    </row>
    <row r="46" spans="1:10" s="9" customFormat="1" ht="39.75" customHeight="1">
      <c r="A46" s="21" t="s">
        <v>22</v>
      </c>
      <c r="B46" s="198" t="s">
        <v>169</v>
      </c>
      <c r="C46" s="199"/>
      <c r="D46" s="110">
        <v>0.03</v>
      </c>
      <c r="E46" s="17">
        <f t="shared" si="1"/>
        <v>28.95</v>
      </c>
      <c r="F46" s="28"/>
    </row>
    <row r="47" spans="1:10" s="9" customFormat="1">
      <c r="A47" s="21" t="s">
        <v>34</v>
      </c>
      <c r="B47" s="200" t="s">
        <v>168</v>
      </c>
      <c r="C47" s="201"/>
      <c r="D47" s="110">
        <v>6.0000000000000001E-3</v>
      </c>
      <c r="E47" s="17">
        <f t="shared" si="1"/>
        <v>5.79</v>
      </c>
      <c r="F47" s="28"/>
    </row>
    <row r="48" spans="1:10" s="9" customFormat="1">
      <c r="A48" s="116" t="s">
        <v>35</v>
      </c>
      <c r="B48" s="117"/>
      <c r="C48" s="118"/>
      <c r="D48" s="40">
        <f>SUM(D40:D47)</f>
        <v>0.3680000000000001</v>
      </c>
      <c r="E48" s="18">
        <f>TRUNC(SUM(E40:E47),2)</f>
        <v>355.19</v>
      </c>
    </row>
    <row r="49" spans="1:12" s="9" customFormat="1">
      <c r="A49" s="126" t="s">
        <v>36</v>
      </c>
      <c r="B49" s="127"/>
      <c r="C49" s="127"/>
      <c r="D49" s="127"/>
      <c r="E49" s="128"/>
    </row>
    <row r="50" spans="1:12" s="9" customFormat="1">
      <c r="A50" s="33" t="s">
        <v>37</v>
      </c>
      <c r="B50" s="119" t="s">
        <v>97</v>
      </c>
      <c r="C50" s="120"/>
      <c r="D50" s="121"/>
      <c r="E50" s="5" t="s">
        <v>13</v>
      </c>
    </row>
    <row r="51" spans="1:12" s="9" customFormat="1">
      <c r="A51" s="21" t="s">
        <v>1</v>
      </c>
      <c r="B51" s="129" t="s">
        <v>38</v>
      </c>
      <c r="C51" s="130"/>
      <c r="D51" s="41">
        <f>1/12</f>
        <v>8.3333333333333329E-2</v>
      </c>
      <c r="E51" s="13">
        <f>TRUNC(+$E$23*D51,2)</f>
        <v>80.430000000000007</v>
      </c>
    </row>
    <row r="52" spans="1:12" s="9" customFormat="1">
      <c r="A52" s="116" t="s">
        <v>39</v>
      </c>
      <c r="B52" s="117"/>
      <c r="C52" s="202"/>
      <c r="D52" s="42">
        <f>SUM(D51:D51)</f>
        <v>8.3333333333333329E-2</v>
      </c>
      <c r="E52" s="18">
        <f>SUM(E51:E51)</f>
        <v>80.430000000000007</v>
      </c>
    </row>
    <row r="53" spans="1:12" s="9" customFormat="1">
      <c r="A53" s="21" t="s">
        <v>5</v>
      </c>
      <c r="B53" s="137" t="s">
        <v>40</v>
      </c>
      <c r="C53" s="138"/>
      <c r="D53" s="41">
        <f>+D48</f>
        <v>0.3680000000000001</v>
      </c>
      <c r="E53" s="13">
        <f>TRUNC(+E52*D53,2)</f>
        <v>29.59</v>
      </c>
    </row>
    <row r="54" spans="1:12" s="9" customFormat="1">
      <c r="A54" s="116" t="s">
        <v>35</v>
      </c>
      <c r="B54" s="117"/>
      <c r="C54" s="202"/>
      <c r="D54" s="43"/>
      <c r="E54" s="18">
        <f>+E53+E52</f>
        <v>110.02000000000001</v>
      </c>
    </row>
    <row r="55" spans="1:12" s="9" customFormat="1">
      <c r="A55" s="126" t="s">
        <v>41</v>
      </c>
      <c r="B55" s="127"/>
      <c r="C55" s="127"/>
      <c r="D55" s="127"/>
      <c r="E55" s="128"/>
    </row>
    <row r="56" spans="1:12" s="9" customFormat="1">
      <c r="A56" s="33" t="s">
        <v>42</v>
      </c>
      <c r="B56" s="119" t="s">
        <v>43</v>
      </c>
      <c r="C56" s="120"/>
      <c r="D56" s="121"/>
      <c r="E56" s="5" t="s">
        <v>13</v>
      </c>
    </row>
    <row r="57" spans="1:12" s="9" customFormat="1">
      <c r="A57" s="21" t="s">
        <v>1</v>
      </c>
      <c r="B57" s="137" t="s">
        <v>44</v>
      </c>
      <c r="C57" s="138"/>
      <c r="D57" s="111">
        <f>((38.05%*1.96%*47.81*61%)*3%)/1</f>
        <v>6.5250007493999991E-3</v>
      </c>
      <c r="E57" s="13">
        <f>TRUNC(+D57*$E$23,2)</f>
        <v>6.29</v>
      </c>
      <c r="L57" s="44"/>
    </row>
    <row r="58" spans="1:12" s="9" customFormat="1">
      <c r="A58" s="21" t="s">
        <v>3</v>
      </c>
      <c r="B58" s="137" t="s">
        <v>45</v>
      </c>
      <c r="C58" s="138"/>
      <c r="D58" s="34">
        <f>D48</f>
        <v>0.3680000000000001</v>
      </c>
      <c r="E58" s="13">
        <f>ROUND(+D58*E57,2)</f>
        <v>2.31</v>
      </c>
      <c r="F58" s="45"/>
      <c r="L58" s="44"/>
    </row>
    <row r="59" spans="1:12" s="9" customFormat="1">
      <c r="A59" s="116" t="s">
        <v>35</v>
      </c>
      <c r="B59" s="117"/>
      <c r="C59" s="117"/>
      <c r="D59" s="43"/>
      <c r="E59" s="18">
        <f>SUM(E57:E58)</f>
        <v>8.6</v>
      </c>
      <c r="F59" s="46"/>
      <c r="L59" s="44"/>
    </row>
    <row r="60" spans="1:12" s="9" customFormat="1">
      <c r="A60" s="126" t="s">
        <v>46</v>
      </c>
      <c r="B60" s="127"/>
      <c r="C60" s="127"/>
      <c r="D60" s="127"/>
      <c r="E60" s="128"/>
      <c r="F60" s="47"/>
      <c r="L60" s="44"/>
    </row>
    <row r="61" spans="1:12" s="9" customFormat="1">
      <c r="A61" s="33" t="s">
        <v>47</v>
      </c>
      <c r="B61" s="119" t="s">
        <v>48</v>
      </c>
      <c r="C61" s="120"/>
      <c r="D61" s="121"/>
      <c r="E61" s="5" t="s">
        <v>13</v>
      </c>
      <c r="L61" s="48"/>
    </row>
    <row r="62" spans="1:12" s="9" customFormat="1">
      <c r="A62" s="49" t="s">
        <v>1</v>
      </c>
      <c r="B62" s="135" t="s">
        <v>49</v>
      </c>
      <c r="C62" s="136"/>
      <c r="D62" s="50">
        <f>((1/12)*0.05)</f>
        <v>4.1666666666666666E-3</v>
      </c>
      <c r="E62" s="87">
        <f>TRUNC(+$E$23*D62,2)</f>
        <v>4.0199999999999996</v>
      </c>
      <c r="F62" s="46"/>
    </row>
    <row r="63" spans="1:12" s="9" customFormat="1">
      <c r="A63" s="49" t="s">
        <v>3</v>
      </c>
      <c r="B63" s="135" t="s">
        <v>98</v>
      </c>
      <c r="C63" s="136"/>
      <c r="D63" s="50">
        <f>+D45</f>
        <v>0.08</v>
      </c>
      <c r="E63" s="87">
        <f>TRUNC(+E62*D63,2)</f>
        <v>0.32</v>
      </c>
    </row>
    <row r="64" spans="1:12" s="9" customFormat="1" ht="15" customHeight="1">
      <c r="A64" s="49" t="s">
        <v>5</v>
      </c>
      <c r="B64" s="135" t="s">
        <v>104</v>
      </c>
      <c r="C64" s="136"/>
      <c r="D64" s="50">
        <f>(0.08*0.5*0.05)</f>
        <v>2E-3</v>
      </c>
      <c r="E64" s="87">
        <f>TRUNC(+$E$23*D64,2)</f>
        <v>1.93</v>
      </c>
    </row>
    <row r="65" spans="1:6" s="9" customFormat="1">
      <c r="A65" s="49" t="s">
        <v>7</v>
      </c>
      <c r="B65" s="188" t="s">
        <v>50</v>
      </c>
      <c r="C65" s="189"/>
      <c r="D65" s="50">
        <f>((7/30)/12)</f>
        <v>1.9444444444444445E-2</v>
      </c>
      <c r="E65" s="87">
        <f>TRUNC(+D65*$E$23,2)</f>
        <v>18.760000000000002</v>
      </c>
    </row>
    <row r="66" spans="1:6" s="9" customFormat="1" ht="15" customHeight="1">
      <c r="A66" s="49" t="s">
        <v>20</v>
      </c>
      <c r="B66" s="135" t="s">
        <v>99</v>
      </c>
      <c r="C66" s="136"/>
      <c r="D66" s="50">
        <f>+D48</f>
        <v>0.3680000000000001</v>
      </c>
      <c r="E66" s="87">
        <f>TRUNC(+E65*D66,2)</f>
        <v>6.9</v>
      </c>
    </row>
    <row r="67" spans="1:6" s="9" customFormat="1" ht="15" customHeight="1">
      <c r="A67" s="49" t="s">
        <v>21</v>
      </c>
      <c r="B67" s="135" t="s">
        <v>105</v>
      </c>
      <c r="C67" s="136"/>
      <c r="D67" s="50">
        <f>(0.08*0.5)</f>
        <v>0.04</v>
      </c>
      <c r="E67" s="87">
        <f>TRUNC(+E23*D67,2)</f>
        <v>38.61</v>
      </c>
    </row>
    <row r="68" spans="1:6" s="9" customFormat="1">
      <c r="A68" s="210" t="s">
        <v>35</v>
      </c>
      <c r="B68" s="211"/>
      <c r="C68" s="211"/>
      <c r="D68" s="51"/>
      <c r="E68" s="88">
        <f>SUM(E62:E67)</f>
        <v>70.539999999999992</v>
      </c>
    </row>
    <row r="69" spans="1:6" s="9" customFormat="1">
      <c r="A69" s="126" t="s">
        <v>51</v>
      </c>
      <c r="B69" s="127"/>
      <c r="C69" s="127"/>
      <c r="D69" s="127"/>
      <c r="E69" s="128"/>
    </row>
    <row r="70" spans="1:6" s="9" customFormat="1">
      <c r="A70" s="33" t="s">
        <v>52</v>
      </c>
      <c r="B70" s="207" t="s">
        <v>53</v>
      </c>
      <c r="C70" s="208"/>
      <c r="D70" s="209"/>
      <c r="E70" s="5" t="s">
        <v>13</v>
      </c>
    </row>
    <row r="71" spans="1:6" s="9" customFormat="1" ht="16.5" customHeight="1">
      <c r="A71" s="21" t="s">
        <v>1</v>
      </c>
      <c r="B71" s="137" t="s">
        <v>54</v>
      </c>
      <c r="C71" s="138"/>
      <c r="D71" s="34">
        <f>(((1+1/3)/12))</f>
        <v>0.1111111111111111</v>
      </c>
      <c r="E71" s="13">
        <f t="shared" ref="E71:E76" si="2">TRUNC(+D71*$E$23,2)</f>
        <v>107.25</v>
      </c>
      <c r="F71" s="36"/>
    </row>
    <row r="72" spans="1:6" s="9" customFormat="1">
      <c r="A72" s="21" t="s">
        <v>3</v>
      </c>
      <c r="B72" s="137" t="s">
        <v>55</v>
      </c>
      <c r="C72" s="138"/>
      <c r="D72" s="41">
        <v>1.66E-2</v>
      </c>
      <c r="E72" s="13">
        <f t="shared" si="2"/>
        <v>16.02</v>
      </c>
    </row>
    <row r="73" spans="1:6" s="9" customFormat="1">
      <c r="A73" s="21" t="s">
        <v>5</v>
      </c>
      <c r="B73" s="137" t="s">
        <v>56</v>
      </c>
      <c r="C73" s="138"/>
      <c r="D73" s="41">
        <v>2.0000000000000001E-4</v>
      </c>
      <c r="E73" s="13">
        <f t="shared" si="2"/>
        <v>0.19</v>
      </c>
      <c r="F73" s="52"/>
    </row>
    <row r="74" spans="1:6" s="9" customFormat="1">
      <c r="A74" s="21" t="s">
        <v>7</v>
      </c>
      <c r="B74" s="139" t="s">
        <v>57</v>
      </c>
      <c r="C74" s="140"/>
      <c r="D74" s="34">
        <v>2.8E-3</v>
      </c>
      <c r="E74" s="13">
        <f t="shared" si="2"/>
        <v>2.7</v>
      </c>
    </row>
    <row r="75" spans="1:6" s="9" customFormat="1">
      <c r="A75" s="21" t="s">
        <v>20</v>
      </c>
      <c r="B75" s="137" t="s">
        <v>58</v>
      </c>
      <c r="C75" s="138"/>
      <c r="D75" s="112">
        <v>2.9999999999999997E-4</v>
      </c>
      <c r="E75" s="13">
        <f t="shared" si="2"/>
        <v>0.28000000000000003</v>
      </c>
    </row>
    <row r="76" spans="1:6" s="9" customFormat="1">
      <c r="A76" s="21" t="s">
        <v>21</v>
      </c>
      <c r="B76" s="137" t="s">
        <v>23</v>
      </c>
      <c r="C76" s="138"/>
      <c r="D76" s="34">
        <v>0</v>
      </c>
      <c r="E76" s="13">
        <f t="shared" si="2"/>
        <v>0</v>
      </c>
      <c r="F76" s="52"/>
    </row>
    <row r="77" spans="1:6" s="9" customFormat="1">
      <c r="A77" s="116" t="s">
        <v>39</v>
      </c>
      <c r="B77" s="117"/>
      <c r="C77" s="118"/>
      <c r="D77" s="40"/>
      <c r="E77" s="18">
        <f>SUM(E71:E76)</f>
        <v>126.44</v>
      </c>
    </row>
    <row r="78" spans="1:6" s="9" customFormat="1" ht="30">
      <c r="A78" s="21" t="s">
        <v>22</v>
      </c>
      <c r="B78" s="16" t="s">
        <v>59</v>
      </c>
      <c r="C78" s="53"/>
      <c r="D78" s="41">
        <f>+D48</f>
        <v>0.3680000000000001</v>
      </c>
      <c r="E78" s="13">
        <f>TRUNC(+E77*D78,2)</f>
        <v>46.52</v>
      </c>
      <c r="F78" s="52"/>
    </row>
    <row r="79" spans="1:6" s="9" customFormat="1">
      <c r="A79" s="116" t="s">
        <v>35</v>
      </c>
      <c r="B79" s="117"/>
      <c r="C79" s="202"/>
      <c r="D79" s="54"/>
      <c r="E79" s="18">
        <f>SUM(E77:E78)</f>
        <v>172.96</v>
      </c>
    </row>
    <row r="80" spans="1:6" s="9" customFormat="1">
      <c r="A80" s="183" t="s">
        <v>60</v>
      </c>
      <c r="B80" s="184"/>
      <c r="C80" s="184"/>
      <c r="D80" s="184"/>
      <c r="E80" s="185"/>
    </row>
    <row r="81" spans="1:5" s="9" customFormat="1">
      <c r="A81" s="10">
        <v>4</v>
      </c>
      <c r="B81" s="119" t="s">
        <v>61</v>
      </c>
      <c r="C81" s="120"/>
      <c r="D81" s="121"/>
      <c r="E81" s="5" t="s">
        <v>13</v>
      </c>
    </row>
    <row r="82" spans="1:5" s="9" customFormat="1" ht="30" customHeight="1">
      <c r="A82" s="21" t="s">
        <v>32</v>
      </c>
      <c r="B82" s="132" t="s">
        <v>62</v>
      </c>
      <c r="C82" s="133"/>
      <c r="D82" s="134"/>
      <c r="E82" s="13">
        <f>+E48</f>
        <v>355.19</v>
      </c>
    </row>
    <row r="83" spans="1:5" s="9" customFormat="1">
      <c r="A83" s="21" t="s">
        <v>37</v>
      </c>
      <c r="B83" s="132" t="s">
        <v>63</v>
      </c>
      <c r="C83" s="133"/>
      <c r="D83" s="134"/>
      <c r="E83" s="13">
        <f>+E54</f>
        <v>110.02000000000001</v>
      </c>
    </row>
    <row r="84" spans="1:5" s="9" customFormat="1">
      <c r="A84" s="21" t="s">
        <v>42</v>
      </c>
      <c r="B84" s="132" t="s">
        <v>44</v>
      </c>
      <c r="C84" s="133"/>
      <c r="D84" s="134"/>
      <c r="E84" s="13">
        <f>+E59</f>
        <v>8.6</v>
      </c>
    </row>
    <row r="85" spans="1:5" s="9" customFormat="1">
      <c r="A85" s="21" t="s">
        <v>47</v>
      </c>
      <c r="B85" s="132" t="s">
        <v>64</v>
      </c>
      <c r="C85" s="133"/>
      <c r="D85" s="134"/>
      <c r="E85" s="13">
        <f>E68</f>
        <v>70.539999999999992</v>
      </c>
    </row>
    <row r="86" spans="1:5" s="9" customFormat="1">
      <c r="A86" s="21" t="s">
        <v>52</v>
      </c>
      <c r="B86" s="132" t="s">
        <v>65</v>
      </c>
      <c r="C86" s="133"/>
      <c r="D86" s="134"/>
      <c r="E86" s="13">
        <f>+E79</f>
        <v>172.96</v>
      </c>
    </row>
    <row r="87" spans="1:5" s="9" customFormat="1">
      <c r="A87" s="21" t="s">
        <v>66</v>
      </c>
      <c r="B87" s="132" t="s">
        <v>23</v>
      </c>
      <c r="C87" s="133"/>
      <c r="D87" s="134"/>
      <c r="E87" s="13">
        <f t="shared" ref="E87" si="3">+$E$23*D87</f>
        <v>0</v>
      </c>
    </row>
    <row r="88" spans="1:5" s="19" customFormat="1" ht="15" customHeight="1">
      <c r="A88" s="186" t="s">
        <v>67</v>
      </c>
      <c r="B88" s="187"/>
      <c r="C88" s="187"/>
      <c r="D88" s="190"/>
      <c r="E88" s="18">
        <f>SUM(E82:E87)</f>
        <v>717.31000000000006</v>
      </c>
    </row>
    <row r="89" spans="1:5" s="19" customFormat="1" ht="29.25" customHeight="1">
      <c r="A89" s="186" t="s">
        <v>68</v>
      </c>
      <c r="B89" s="187"/>
      <c r="C89" s="187"/>
      <c r="D89" s="55"/>
      <c r="E89" s="18">
        <f>+E23+E31+E36+E88</f>
        <v>2002.87</v>
      </c>
    </row>
    <row r="90" spans="1:5" s="9" customFormat="1">
      <c r="A90" s="126" t="s">
        <v>69</v>
      </c>
      <c r="B90" s="127"/>
      <c r="C90" s="127" t="s">
        <v>70</v>
      </c>
      <c r="D90" s="128" t="s">
        <v>71</v>
      </c>
      <c r="E90" s="8"/>
    </row>
    <row r="91" spans="1:5" s="9" customFormat="1">
      <c r="A91" s="10">
        <v>5</v>
      </c>
      <c r="B91" s="119" t="s">
        <v>72</v>
      </c>
      <c r="C91" s="120"/>
      <c r="D91" s="121"/>
      <c r="E91" s="56" t="s">
        <v>13</v>
      </c>
    </row>
    <row r="92" spans="1:5" s="9" customFormat="1">
      <c r="A92" s="108" t="s">
        <v>1</v>
      </c>
      <c r="B92" s="57" t="s">
        <v>73</v>
      </c>
      <c r="C92" s="194">
        <v>0</v>
      </c>
      <c r="D92" s="195"/>
      <c r="E92" s="13">
        <f>+E89*C92</f>
        <v>0</v>
      </c>
    </row>
    <row r="93" spans="1:5" s="9" customFormat="1">
      <c r="A93" s="108" t="s">
        <v>3</v>
      </c>
      <c r="B93" s="57" t="s">
        <v>74</v>
      </c>
      <c r="C93" s="194">
        <v>0</v>
      </c>
      <c r="D93" s="195"/>
      <c r="E93" s="13">
        <f>C93*(+E89+E92)</f>
        <v>0</v>
      </c>
    </row>
    <row r="94" spans="1:5" s="9" customFormat="1" ht="27" customHeight="1">
      <c r="A94" s="196" t="s">
        <v>5</v>
      </c>
      <c r="B94" s="215" t="s">
        <v>94</v>
      </c>
      <c r="C94" s="216"/>
      <c r="D94" s="25">
        <f>+(100-8.65)/100</f>
        <v>0.91349999999999998</v>
      </c>
      <c r="E94" s="17">
        <f>+E89+E92+E93</f>
        <v>2002.87</v>
      </c>
    </row>
    <row r="95" spans="1:5" s="9" customFormat="1">
      <c r="A95" s="196"/>
      <c r="B95" s="109" t="s">
        <v>75</v>
      </c>
      <c r="E95" s="89">
        <f>+E94/D94</f>
        <v>2192.5232621784344</v>
      </c>
    </row>
    <row r="96" spans="1:5" s="9" customFormat="1">
      <c r="A96" s="196"/>
      <c r="B96" s="58" t="s">
        <v>76</v>
      </c>
      <c r="C96" s="59"/>
      <c r="D96" s="60"/>
      <c r="E96" s="13"/>
    </row>
    <row r="97" spans="1:6" s="9" customFormat="1">
      <c r="A97" s="196"/>
      <c r="B97" s="61" t="s">
        <v>101</v>
      </c>
      <c r="C97" s="62"/>
      <c r="D97" s="78">
        <v>6.4999999999999997E-3</v>
      </c>
      <c r="E97" s="13">
        <f>+E95*D97</f>
        <v>14.251401204159823</v>
      </c>
      <c r="F97" s="52"/>
    </row>
    <row r="98" spans="1:6" s="9" customFormat="1">
      <c r="A98" s="196"/>
      <c r="B98" s="61" t="s">
        <v>102</v>
      </c>
      <c r="C98" s="62"/>
      <c r="D98" s="78">
        <v>0.03</v>
      </c>
      <c r="E98" s="13">
        <f>+E95*D98</f>
        <v>65.775697865353024</v>
      </c>
    </row>
    <row r="99" spans="1:6" s="9" customFormat="1">
      <c r="A99" s="196"/>
      <c r="B99" s="63" t="s">
        <v>77</v>
      </c>
      <c r="C99" s="64"/>
      <c r="D99" s="65"/>
      <c r="E99" s="13"/>
    </row>
    <row r="100" spans="1:6" s="9" customFormat="1">
      <c r="A100" s="196"/>
      <c r="B100" s="63" t="s">
        <v>78</v>
      </c>
      <c r="C100" s="64"/>
      <c r="D100" s="66"/>
      <c r="E100" s="13"/>
    </row>
    <row r="101" spans="1:6" s="9" customFormat="1" ht="15.75" thickBot="1">
      <c r="A101" s="197"/>
      <c r="B101" s="67" t="s">
        <v>103</v>
      </c>
      <c r="C101" s="68"/>
      <c r="D101" s="79">
        <v>0.05</v>
      </c>
      <c r="E101" s="90">
        <f>+E95*D101</f>
        <v>109.62616310892173</v>
      </c>
    </row>
    <row r="102" spans="1:6" s="9" customFormat="1" ht="15.75" thickBot="1">
      <c r="A102" s="69"/>
      <c r="B102" s="70" t="s">
        <v>79</v>
      </c>
      <c r="C102" s="70"/>
      <c r="D102" s="71">
        <f>SUM(D97:D101)</f>
        <v>8.6499999999999994E-2</v>
      </c>
      <c r="E102" s="91">
        <f>SUM(E97:E101)</f>
        <v>189.65326217843457</v>
      </c>
    </row>
    <row r="103" spans="1:6" s="19" customFormat="1">
      <c r="A103" s="191" t="s">
        <v>80</v>
      </c>
      <c r="B103" s="192"/>
      <c r="C103" s="192"/>
      <c r="D103" s="193"/>
      <c r="E103" s="92">
        <f>+E92+E93+E102</f>
        <v>189.65326217843457</v>
      </c>
    </row>
    <row r="104" spans="1:6" s="9" customFormat="1">
      <c r="A104" s="186" t="s">
        <v>81</v>
      </c>
      <c r="B104" s="187"/>
      <c r="C104" s="187"/>
      <c r="D104" s="190"/>
      <c r="E104" s="72" t="s">
        <v>13</v>
      </c>
    </row>
    <row r="105" spans="1:6" s="9" customFormat="1">
      <c r="A105" s="108" t="s">
        <v>1</v>
      </c>
      <c r="B105" s="212" t="s">
        <v>82</v>
      </c>
      <c r="C105" s="213"/>
      <c r="D105" s="214"/>
      <c r="E105" s="13">
        <f>+E23</f>
        <v>965.25</v>
      </c>
    </row>
    <row r="106" spans="1:6" s="9" customFormat="1">
      <c r="A106" s="108" t="s">
        <v>3</v>
      </c>
      <c r="B106" s="212" t="s">
        <v>83</v>
      </c>
      <c r="C106" s="213"/>
      <c r="D106" s="214"/>
      <c r="E106" s="13">
        <f>+E31</f>
        <v>320.31</v>
      </c>
    </row>
    <row r="107" spans="1:6" s="9" customFormat="1">
      <c r="A107" s="108" t="s">
        <v>5</v>
      </c>
      <c r="B107" s="212" t="s">
        <v>84</v>
      </c>
      <c r="C107" s="213"/>
      <c r="D107" s="214"/>
      <c r="E107" s="13">
        <f>+E36</f>
        <v>0</v>
      </c>
    </row>
    <row r="108" spans="1:6" s="9" customFormat="1">
      <c r="A108" s="108" t="s">
        <v>7</v>
      </c>
      <c r="B108" s="212" t="s">
        <v>85</v>
      </c>
      <c r="C108" s="213"/>
      <c r="D108" s="214"/>
      <c r="E108" s="13">
        <f>+E88</f>
        <v>717.31000000000006</v>
      </c>
    </row>
    <row r="109" spans="1:6" s="9" customFormat="1">
      <c r="A109" s="116" t="s">
        <v>86</v>
      </c>
      <c r="B109" s="117"/>
      <c r="C109" s="202"/>
      <c r="D109" s="73"/>
      <c r="E109" s="18">
        <f>SUM(E105:E108)</f>
        <v>2002.87</v>
      </c>
    </row>
    <row r="110" spans="1:6" s="9" customFormat="1">
      <c r="A110" s="108" t="s">
        <v>20</v>
      </c>
      <c r="B110" s="212" t="s">
        <v>87</v>
      </c>
      <c r="C110" s="213"/>
      <c r="D110" s="214"/>
      <c r="E110" s="13">
        <f>+E103</f>
        <v>189.65326217843457</v>
      </c>
    </row>
    <row r="111" spans="1:6" s="19" customFormat="1" ht="15.75">
      <c r="A111" s="204" t="s">
        <v>88</v>
      </c>
      <c r="B111" s="205"/>
      <c r="C111" s="205"/>
      <c r="D111" s="206"/>
      <c r="E111" s="93">
        <f>+E109+E110</f>
        <v>2192.5232621784344</v>
      </c>
    </row>
    <row r="112" spans="1:6">
      <c r="A112" s="74" t="s">
        <v>89</v>
      </c>
      <c r="E112" s="77">
        <f>+E111/E105</f>
        <v>2.2714563710732292</v>
      </c>
    </row>
  </sheetData>
  <sheetProtection password="CAC1" sheet="1" objects="1" scenarios="1"/>
  <mergeCells count="97">
    <mergeCell ref="A111:D111"/>
    <mergeCell ref="C93:D93"/>
    <mergeCell ref="A94:A101"/>
    <mergeCell ref="B94:C94"/>
    <mergeCell ref="A103:D103"/>
    <mergeCell ref="A104:D104"/>
    <mergeCell ref="B105:D105"/>
    <mergeCell ref="B106:D106"/>
    <mergeCell ref="B107:D107"/>
    <mergeCell ref="B108:D108"/>
    <mergeCell ref="A109:C109"/>
    <mergeCell ref="B110:D110"/>
    <mergeCell ref="C92:D92"/>
    <mergeCell ref="B81:D81"/>
    <mergeCell ref="B82:D82"/>
    <mergeCell ref="B83:D83"/>
    <mergeCell ref="B84:D84"/>
    <mergeCell ref="B85:D85"/>
    <mergeCell ref="B86:D86"/>
    <mergeCell ref="B87:D87"/>
    <mergeCell ref="A88:D88"/>
    <mergeCell ref="A89:C89"/>
    <mergeCell ref="A90:D90"/>
    <mergeCell ref="B91:D91"/>
    <mergeCell ref="A80:E80"/>
    <mergeCell ref="A68:C68"/>
    <mergeCell ref="A69:E69"/>
    <mergeCell ref="B70:D70"/>
    <mergeCell ref="B71:C71"/>
    <mergeCell ref="B72:C72"/>
    <mergeCell ref="B73:C73"/>
    <mergeCell ref="B74:C74"/>
    <mergeCell ref="B75:C75"/>
    <mergeCell ref="B76:C76"/>
    <mergeCell ref="A77:C77"/>
    <mergeCell ref="A79:C79"/>
    <mergeCell ref="B67:C67"/>
    <mergeCell ref="B56:D56"/>
    <mergeCell ref="B57:C57"/>
    <mergeCell ref="B58:C58"/>
    <mergeCell ref="A59:C59"/>
    <mergeCell ref="A60:E60"/>
    <mergeCell ref="B61:D61"/>
    <mergeCell ref="B62:C62"/>
    <mergeCell ref="B63:C63"/>
    <mergeCell ref="B64:C64"/>
    <mergeCell ref="B65:C65"/>
    <mergeCell ref="B66:C66"/>
    <mergeCell ref="A55:E55"/>
    <mergeCell ref="B44:C44"/>
    <mergeCell ref="B45:C45"/>
    <mergeCell ref="B46:C46"/>
    <mergeCell ref="B47:C47"/>
    <mergeCell ref="A48:C48"/>
    <mergeCell ref="A49:E49"/>
    <mergeCell ref="B50:D50"/>
    <mergeCell ref="B51:C51"/>
    <mergeCell ref="A52:C52"/>
    <mergeCell ref="B53:C53"/>
    <mergeCell ref="A54:C54"/>
    <mergeCell ref="B43:C43"/>
    <mergeCell ref="A23:D23"/>
    <mergeCell ref="A24:D24"/>
    <mergeCell ref="A31:D31"/>
    <mergeCell ref="A32:E32"/>
    <mergeCell ref="A36:D36"/>
    <mergeCell ref="A37:E37"/>
    <mergeCell ref="A38:E38"/>
    <mergeCell ref="B39:C39"/>
    <mergeCell ref="B40:C40"/>
    <mergeCell ref="B41:C41"/>
    <mergeCell ref="B42:C42"/>
    <mergeCell ref="C22:D22"/>
    <mergeCell ref="C16:E16"/>
    <mergeCell ref="C17:E17"/>
    <mergeCell ref="C18:E18"/>
    <mergeCell ref="A19:D19"/>
    <mergeCell ref="B20:D20"/>
    <mergeCell ref="C21:D21"/>
    <mergeCell ref="A14:D14"/>
    <mergeCell ref="C15:E15"/>
    <mergeCell ref="C6:E6"/>
    <mergeCell ref="C7:E7"/>
    <mergeCell ref="C8:E8"/>
    <mergeCell ref="A9:E9"/>
    <mergeCell ref="A10:B10"/>
    <mergeCell ref="C10:E10"/>
    <mergeCell ref="C5:E5"/>
    <mergeCell ref="A11:B11"/>
    <mergeCell ref="C11:E11"/>
    <mergeCell ref="A12:E12"/>
    <mergeCell ref="A13:E13"/>
    <mergeCell ref="A2:C2"/>
    <mergeCell ref="D2:E2"/>
    <mergeCell ref="A3:C3"/>
    <mergeCell ref="D3:E3"/>
    <mergeCell ref="A4:E4"/>
  </mergeCells>
  <printOptions horizontalCentered="1"/>
  <pageMargins left="3.937007874015748E-2" right="3.937007874015748E-2" top="0.15748031496062992" bottom="0.15748031496062992" header="0.31496062992125984" footer="0"/>
  <pageSetup paperSize="9" scale="58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12"/>
  <sheetViews>
    <sheetView showGridLines="0" zoomScale="90" zoomScaleNormal="90" zoomScaleSheetLayoutView="145" zoomScalePageLayoutView="55" workbookViewId="0">
      <pane xSplit="1" topLeftCell="B1" activePane="topRight" state="frozen"/>
      <selection activeCell="A10" sqref="A10"/>
      <selection pane="topRight" sqref="A1:XFD1048576"/>
    </sheetView>
  </sheetViews>
  <sheetFormatPr defaultRowHeight="15"/>
  <cols>
    <col min="1" max="1" width="9.140625" style="74" customWidth="1"/>
    <col min="2" max="2" width="45.7109375" style="75" bestFit="1" customWidth="1"/>
    <col min="3" max="3" width="24.28515625" style="75" customWidth="1"/>
    <col min="4" max="4" width="14.5703125" style="76" customWidth="1"/>
    <col min="5" max="5" width="16.28515625" style="77" customWidth="1"/>
    <col min="6" max="6" width="31.85546875" style="1" customWidth="1"/>
    <col min="7" max="7" width="5.5703125" style="1" customWidth="1"/>
    <col min="8" max="8" width="11.140625" style="1" hidden="1" customWidth="1"/>
    <col min="9" max="9" width="22" style="1" customWidth="1"/>
    <col min="10" max="16384" width="9.140625" style="1"/>
  </cols>
  <sheetData>
    <row r="2" spans="1:5" ht="15" customHeight="1">
      <c r="A2" s="141" t="s">
        <v>90</v>
      </c>
      <c r="B2" s="142"/>
      <c r="C2" s="143"/>
      <c r="D2" s="144"/>
      <c r="E2" s="145"/>
    </row>
    <row r="3" spans="1:5" ht="15" customHeight="1">
      <c r="A3" s="141" t="s">
        <v>91</v>
      </c>
      <c r="B3" s="142"/>
      <c r="C3" s="143"/>
      <c r="D3" s="217"/>
      <c r="E3" s="145"/>
    </row>
    <row r="4" spans="1:5" s="2" customFormat="1">
      <c r="A4" s="150" t="s">
        <v>0</v>
      </c>
      <c r="B4" s="151"/>
      <c r="C4" s="151"/>
      <c r="D4" s="151"/>
      <c r="E4" s="152"/>
    </row>
    <row r="5" spans="1:5">
      <c r="A5" s="3" t="s">
        <v>1</v>
      </c>
      <c r="B5" s="4" t="s">
        <v>2</v>
      </c>
      <c r="C5" s="153">
        <v>42583</v>
      </c>
      <c r="D5" s="154"/>
      <c r="E5" s="155"/>
    </row>
    <row r="6" spans="1:5">
      <c r="A6" s="3" t="s">
        <v>3</v>
      </c>
      <c r="B6" s="4" t="s">
        <v>4</v>
      </c>
      <c r="C6" s="156" t="s">
        <v>147</v>
      </c>
      <c r="D6" s="157"/>
      <c r="E6" s="158"/>
    </row>
    <row r="7" spans="1:5" ht="30">
      <c r="A7" s="3" t="s">
        <v>5</v>
      </c>
      <c r="B7" s="4" t="s">
        <v>6</v>
      </c>
      <c r="C7" s="153" t="str">
        <f>'Recife SEDE'!C7:E7</f>
        <v>2016/2016 - Registro no MTE: PE000143/2016</v>
      </c>
      <c r="D7" s="154"/>
      <c r="E7" s="155"/>
    </row>
    <row r="8" spans="1:5">
      <c r="A8" s="3" t="s">
        <v>7</v>
      </c>
      <c r="B8" s="4" t="s">
        <v>92</v>
      </c>
      <c r="C8" s="156" t="s">
        <v>96</v>
      </c>
      <c r="D8" s="157"/>
      <c r="E8" s="158"/>
    </row>
    <row r="9" spans="1:5" s="2" customFormat="1">
      <c r="A9" s="159" t="s">
        <v>8</v>
      </c>
      <c r="B9" s="160"/>
      <c r="C9" s="160"/>
      <c r="D9" s="160"/>
      <c r="E9" s="161"/>
    </row>
    <row r="10" spans="1:5" ht="15" customHeight="1">
      <c r="A10" s="162" t="s">
        <v>9</v>
      </c>
      <c r="B10" s="163"/>
      <c r="C10" s="147" t="s">
        <v>109</v>
      </c>
      <c r="D10" s="148"/>
      <c r="E10" s="149"/>
    </row>
    <row r="11" spans="1:5">
      <c r="A11" s="154" t="s">
        <v>140</v>
      </c>
      <c r="B11" s="155"/>
      <c r="C11" s="164">
        <v>1</v>
      </c>
      <c r="D11" s="164"/>
      <c r="E11" s="164"/>
    </row>
    <row r="12" spans="1:5" s="2" customFormat="1">
      <c r="A12" s="165" t="s">
        <v>10</v>
      </c>
      <c r="B12" s="166"/>
      <c r="C12" s="166"/>
      <c r="D12" s="166"/>
      <c r="E12" s="167"/>
    </row>
    <row r="13" spans="1:5" s="2" customFormat="1">
      <c r="A13" s="168" t="s">
        <v>11</v>
      </c>
      <c r="B13" s="169"/>
      <c r="C13" s="169"/>
      <c r="D13" s="169"/>
      <c r="E13" s="170"/>
    </row>
    <row r="14" spans="1:5" ht="15" customHeight="1">
      <c r="A14" s="174" t="s">
        <v>12</v>
      </c>
      <c r="B14" s="175"/>
      <c r="C14" s="175"/>
      <c r="D14" s="176"/>
      <c r="E14" s="5" t="s">
        <v>13</v>
      </c>
    </row>
    <row r="15" spans="1:5" ht="30">
      <c r="A15" s="3">
        <v>1</v>
      </c>
      <c r="B15" s="6" t="s">
        <v>93</v>
      </c>
      <c r="C15" s="177" t="s">
        <v>140</v>
      </c>
      <c r="D15" s="178"/>
      <c r="E15" s="179"/>
    </row>
    <row r="16" spans="1:5">
      <c r="A16" s="3">
        <v>2</v>
      </c>
      <c r="B16" s="6" t="s">
        <v>14</v>
      </c>
      <c r="C16" s="171">
        <v>965.25</v>
      </c>
      <c r="D16" s="172"/>
      <c r="E16" s="173"/>
    </row>
    <row r="17" spans="1:9" ht="30">
      <c r="A17" s="3">
        <v>3</v>
      </c>
      <c r="B17" s="6" t="s">
        <v>15</v>
      </c>
      <c r="C17" s="177" t="s">
        <v>140</v>
      </c>
      <c r="D17" s="178"/>
      <c r="E17" s="179"/>
    </row>
    <row r="18" spans="1:9">
      <c r="A18" s="3">
        <v>4</v>
      </c>
      <c r="B18" s="7" t="s">
        <v>16</v>
      </c>
      <c r="C18" s="180" t="s">
        <v>108</v>
      </c>
      <c r="D18" s="181"/>
      <c r="E18" s="182"/>
    </row>
    <row r="19" spans="1:9" s="9" customFormat="1">
      <c r="A19" s="183" t="s">
        <v>17</v>
      </c>
      <c r="B19" s="184"/>
      <c r="C19" s="184"/>
      <c r="D19" s="185"/>
      <c r="E19" s="8"/>
    </row>
    <row r="20" spans="1:9" s="9" customFormat="1">
      <c r="A20" s="10">
        <v>1</v>
      </c>
      <c r="B20" s="119" t="s">
        <v>18</v>
      </c>
      <c r="C20" s="120"/>
      <c r="D20" s="121"/>
      <c r="E20" s="5" t="s">
        <v>13</v>
      </c>
    </row>
    <row r="21" spans="1:9">
      <c r="A21" s="11" t="s">
        <v>1</v>
      </c>
      <c r="B21" s="12" t="s">
        <v>19</v>
      </c>
      <c r="C21" s="122"/>
      <c r="D21" s="123"/>
      <c r="E21" s="13">
        <f>+C16</f>
        <v>965.25</v>
      </c>
      <c r="H21" s="1">
        <f>+$E$21*2</f>
        <v>1930.5</v>
      </c>
    </row>
    <row r="22" spans="1:9">
      <c r="A22" s="11" t="s">
        <v>3</v>
      </c>
      <c r="B22" s="16" t="s">
        <v>23</v>
      </c>
      <c r="C22" s="124"/>
      <c r="D22" s="125"/>
      <c r="E22" s="14">
        <f>C22*$C$16</f>
        <v>0</v>
      </c>
      <c r="F22" s="15"/>
      <c r="H22" s="1">
        <f t="shared" ref="H22" si="0">+$E$21*2</f>
        <v>1930.5</v>
      </c>
    </row>
    <row r="23" spans="1:9" s="19" customFormat="1" ht="15" customHeight="1">
      <c r="A23" s="113" t="s">
        <v>24</v>
      </c>
      <c r="B23" s="114"/>
      <c r="C23" s="114"/>
      <c r="D23" s="115"/>
      <c r="E23" s="18">
        <f>TRUNC(SUM(E21:E22),2)</f>
        <v>965.25</v>
      </c>
      <c r="F23" s="15"/>
    </row>
    <row r="24" spans="1:9" s="9" customFormat="1">
      <c r="A24" s="126" t="s">
        <v>95</v>
      </c>
      <c r="B24" s="127"/>
      <c r="C24" s="127"/>
      <c r="D24" s="128"/>
      <c r="E24" s="8"/>
      <c r="F24" s="15"/>
    </row>
    <row r="25" spans="1:9">
      <c r="A25" s="10">
        <v>2</v>
      </c>
      <c r="B25" s="20" t="s">
        <v>25</v>
      </c>
      <c r="C25" s="20" t="s">
        <v>110</v>
      </c>
      <c r="D25" s="20" t="s">
        <v>111</v>
      </c>
      <c r="E25" s="5" t="s">
        <v>13</v>
      </c>
      <c r="F25" s="15"/>
    </row>
    <row r="26" spans="1:9">
      <c r="A26" s="21" t="s">
        <v>1</v>
      </c>
      <c r="B26" s="16" t="s">
        <v>100</v>
      </c>
      <c r="C26" s="3">
        <v>44</v>
      </c>
      <c r="D26" s="100">
        <v>2.8</v>
      </c>
      <c r="E26" s="22">
        <f>+TRUNC((C26*D26)-(C16*0.06),2)</f>
        <v>65.28</v>
      </c>
      <c r="F26" s="15"/>
      <c r="I26" s="15"/>
    </row>
    <row r="27" spans="1:9">
      <c r="A27" s="21" t="s">
        <v>3</v>
      </c>
      <c r="B27" s="16" t="s">
        <v>133</v>
      </c>
      <c r="C27" s="3">
        <v>22</v>
      </c>
      <c r="D27" s="85">
        <v>6.66</v>
      </c>
      <c r="E27" s="22">
        <f>TRUNC((C27*D27)*0.8,2)</f>
        <v>117.21</v>
      </c>
      <c r="F27" s="23"/>
      <c r="I27" s="15"/>
    </row>
    <row r="28" spans="1:9">
      <c r="A28" s="21" t="s">
        <v>5</v>
      </c>
      <c r="B28" s="16" t="s">
        <v>132</v>
      </c>
      <c r="C28" s="3">
        <v>1</v>
      </c>
      <c r="D28" s="85">
        <v>100</v>
      </c>
      <c r="E28" s="22">
        <f>TRUNC((C28*D28),2)</f>
        <v>100</v>
      </c>
      <c r="F28" s="15"/>
      <c r="I28" s="15"/>
    </row>
    <row r="29" spans="1:9">
      <c r="A29" s="21" t="s">
        <v>7</v>
      </c>
      <c r="B29" s="16" t="s">
        <v>134</v>
      </c>
      <c r="C29" s="3">
        <v>1</v>
      </c>
      <c r="D29" s="85">
        <v>37.82</v>
      </c>
      <c r="E29" s="22">
        <f>TRUNC((C29*D29),2)</f>
        <v>37.82</v>
      </c>
      <c r="I29" s="15"/>
    </row>
    <row r="30" spans="1:9">
      <c r="A30" s="21" t="s">
        <v>20</v>
      </c>
      <c r="B30" s="16" t="s">
        <v>106</v>
      </c>
      <c r="C30" s="3">
        <v>0</v>
      </c>
      <c r="D30" s="85">
        <v>0</v>
      </c>
      <c r="E30" s="22">
        <f>TRUNC((C30*D30),2)</f>
        <v>0</v>
      </c>
      <c r="I30" s="15"/>
    </row>
    <row r="31" spans="1:9" s="19" customFormat="1" ht="15" customHeight="1">
      <c r="A31" s="113" t="s">
        <v>26</v>
      </c>
      <c r="B31" s="114"/>
      <c r="C31" s="114"/>
      <c r="D31" s="115"/>
      <c r="E31" s="18">
        <f>SUM(E26:E30)</f>
        <v>320.31</v>
      </c>
    </row>
    <row r="32" spans="1:9" s="9" customFormat="1">
      <c r="A32" s="126" t="s">
        <v>27</v>
      </c>
      <c r="B32" s="127"/>
      <c r="C32" s="127"/>
      <c r="D32" s="127"/>
      <c r="E32" s="128"/>
    </row>
    <row r="33" spans="1:10" s="9" customFormat="1">
      <c r="A33" s="10">
        <v>3</v>
      </c>
      <c r="B33" s="20" t="s">
        <v>28</v>
      </c>
      <c r="C33" s="20" t="s">
        <v>110</v>
      </c>
      <c r="D33" s="20" t="s">
        <v>111</v>
      </c>
      <c r="E33" s="5" t="s">
        <v>13</v>
      </c>
    </row>
    <row r="34" spans="1:10" s="9" customFormat="1">
      <c r="A34" s="21" t="s">
        <v>1</v>
      </c>
      <c r="B34" s="16" t="s">
        <v>167</v>
      </c>
      <c r="C34" s="24">
        <v>1</v>
      </c>
      <c r="D34" s="13">
        <f>Uniforme!G12</f>
        <v>0</v>
      </c>
      <c r="E34" s="13">
        <f>TRUNC((C34*D34),2)</f>
        <v>0</v>
      </c>
      <c r="F34" s="26"/>
    </row>
    <row r="35" spans="1:10" s="9" customFormat="1">
      <c r="A35" s="21" t="s">
        <v>3</v>
      </c>
      <c r="B35" s="16" t="s">
        <v>107</v>
      </c>
      <c r="C35" s="27">
        <v>0</v>
      </c>
      <c r="D35" s="86">
        <v>0</v>
      </c>
      <c r="E35" s="13">
        <f>TRUNC((C35*D35),2)</f>
        <v>0</v>
      </c>
    </row>
    <row r="36" spans="1:10" s="19" customFormat="1" ht="15" customHeight="1">
      <c r="A36" s="113" t="s">
        <v>29</v>
      </c>
      <c r="B36" s="114"/>
      <c r="C36" s="114"/>
      <c r="D36" s="115"/>
      <c r="E36" s="18">
        <f>SUM(E34:E35)</f>
        <v>0</v>
      </c>
      <c r="F36" s="28"/>
      <c r="H36" s="32"/>
      <c r="J36" s="30"/>
    </row>
    <row r="37" spans="1:10" s="9" customFormat="1">
      <c r="A37" s="126" t="s">
        <v>30</v>
      </c>
      <c r="B37" s="127"/>
      <c r="C37" s="127"/>
      <c r="D37" s="127"/>
      <c r="E37" s="128"/>
      <c r="F37" s="28"/>
      <c r="H37" s="29"/>
      <c r="J37" s="30"/>
    </row>
    <row r="38" spans="1:10" s="9" customFormat="1">
      <c r="A38" s="126" t="s">
        <v>31</v>
      </c>
      <c r="B38" s="127"/>
      <c r="C38" s="127"/>
      <c r="D38" s="127"/>
      <c r="E38" s="128"/>
      <c r="F38" s="28"/>
      <c r="H38" s="29"/>
      <c r="J38" s="30"/>
    </row>
    <row r="39" spans="1:10" s="9" customFormat="1">
      <c r="A39" s="33" t="s">
        <v>32</v>
      </c>
      <c r="B39" s="119" t="s">
        <v>33</v>
      </c>
      <c r="C39" s="203"/>
      <c r="D39" s="20" t="s">
        <v>130</v>
      </c>
      <c r="E39" s="5" t="s">
        <v>13</v>
      </c>
      <c r="F39" s="28"/>
      <c r="H39" s="29"/>
      <c r="J39" s="30"/>
    </row>
    <row r="40" spans="1:10" s="9" customFormat="1">
      <c r="A40" s="21" t="s">
        <v>1</v>
      </c>
      <c r="B40" s="129" t="s">
        <v>127</v>
      </c>
      <c r="C40" s="130"/>
      <c r="D40" s="34">
        <v>0.2</v>
      </c>
      <c r="E40" s="17">
        <f>TRUNC($E$23*D40,2)</f>
        <v>193.05</v>
      </c>
      <c r="F40" s="28"/>
      <c r="H40" s="29"/>
      <c r="J40" s="30"/>
    </row>
    <row r="41" spans="1:10" s="9" customFormat="1">
      <c r="A41" s="21" t="s">
        <v>3</v>
      </c>
      <c r="B41" s="129" t="s">
        <v>128</v>
      </c>
      <c r="C41" s="130"/>
      <c r="D41" s="34">
        <v>1.4999999999999999E-2</v>
      </c>
      <c r="E41" s="17">
        <f t="shared" ref="E41:E47" si="1">TRUNC($E$23*D41,2)</f>
        <v>14.47</v>
      </c>
      <c r="F41" s="28"/>
      <c r="H41" s="29"/>
      <c r="J41" s="30"/>
    </row>
    <row r="42" spans="1:10" s="9" customFormat="1">
      <c r="A42" s="21" t="s">
        <v>5</v>
      </c>
      <c r="B42" s="129" t="s">
        <v>125</v>
      </c>
      <c r="C42" s="130"/>
      <c r="D42" s="34">
        <v>0.01</v>
      </c>
      <c r="E42" s="17">
        <f t="shared" si="1"/>
        <v>9.65</v>
      </c>
      <c r="F42" s="28"/>
      <c r="H42" s="35"/>
      <c r="J42" s="36"/>
    </row>
    <row r="43" spans="1:10" s="9" customFormat="1">
      <c r="A43" s="21" t="s">
        <v>7</v>
      </c>
      <c r="B43" s="131" t="s">
        <v>165</v>
      </c>
      <c r="C43" s="130"/>
      <c r="D43" s="110">
        <v>2E-3</v>
      </c>
      <c r="E43" s="17">
        <f t="shared" si="1"/>
        <v>1.93</v>
      </c>
      <c r="F43" s="28"/>
    </row>
    <row r="44" spans="1:10" s="9" customFormat="1">
      <c r="A44" s="21" t="s">
        <v>20</v>
      </c>
      <c r="B44" s="129" t="s">
        <v>126</v>
      </c>
      <c r="C44" s="130"/>
      <c r="D44" s="34">
        <v>2.5000000000000001E-2</v>
      </c>
      <c r="E44" s="17">
        <f t="shared" si="1"/>
        <v>24.13</v>
      </c>
      <c r="F44" s="37"/>
      <c r="H44" s="38"/>
      <c r="I44" s="39"/>
      <c r="J44" s="38"/>
    </row>
    <row r="45" spans="1:10" s="9" customFormat="1">
      <c r="A45" s="21" t="s">
        <v>21</v>
      </c>
      <c r="B45" s="129" t="s">
        <v>129</v>
      </c>
      <c r="C45" s="130"/>
      <c r="D45" s="34">
        <v>0.08</v>
      </c>
      <c r="E45" s="17">
        <f t="shared" si="1"/>
        <v>77.22</v>
      </c>
      <c r="F45" s="28"/>
    </row>
    <row r="46" spans="1:10" s="9" customFormat="1" ht="39.75" customHeight="1">
      <c r="A46" s="21" t="s">
        <v>22</v>
      </c>
      <c r="B46" s="198" t="s">
        <v>169</v>
      </c>
      <c r="C46" s="199"/>
      <c r="D46" s="110">
        <v>0.03</v>
      </c>
      <c r="E46" s="17">
        <f t="shared" si="1"/>
        <v>28.95</v>
      </c>
      <c r="F46" s="28"/>
    </row>
    <row r="47" spans="1:10" s="9" customFormat="1">
      <c r="A47" s="21" t="s">
        <v>34</v>
      </c>
      <c r="B47" s="200" t="s">
        <v>168</v>
      </c>
      <c r="C47" s="201"/>
      <c r="D47" s="110">
        <v>6.0000000000000001E-3</v>
      </c>
      <c r="E47" s="17">
        <f t="shared" si="1"/>
        <v>5.79</v>
      </c>
      <c r="F47" s="28"/>
    </row>
    <row r="48" spans="1:10" s="9" customFormat="1">
      <c r="A48" s="116" t="s">
        <v>35</v>
      </c>
      <c r="B48" s="117"/>
      <c r="C48" s="118"/>
      <c r="D48" s="40">
        <f>SUM(D40:D47)</f>
        <v>0.3680000000000001</v>
      </c>
      <c r="E48" s="18">
        <f>TRUNC(SUM(E40:E47),2)</f>
        <v>355.19</v>
      </c>
    </row>
    <row r="49" spans="1:12" s="9" customFormat="1">
      <c r="A49" s="126" t="s">
        <v>36</v>
      </c>
      <c r="B49" s="127"/>
      <c r="C49" s="127"/>
      <c r="D49" s="127"/>
      <c r="E49" s="128"/>
    </row>
    <row r="50" spans="1:12" s="9" customFormat="1">
      <c r="A50" s="33" t="s">
        <v>37</v>
      </c>
      <c r="B50" s="119" t="s">
        <v>97</v>
      </c>
      <c r="C50" s="120"/>
      <c r="D50" s="121"/>
      <c r="E50" s="5" t="s">
        <v>13</v>
      </c>
    </row>
    <row r="51" spans="1:12" s="9" customFormat="1">
      <c r="A51" s="21" t="s">
        <v>1</v>
      </c>
      <c r="B51" s="129" t="s">
        <v>38</v>
      </c>
      <c r="C51" s="130"/>
      <c r="D51" s="41">
        <f>1/12</f>
        <v>8.3333333333333329E-2</v>
      </c>
      <c r="E51" s="13">
        <f>TRUNC(+$E$23*D51,2)</f>
        <v>80.430000000000007</v>
      </c>
    </row>
    <row r="52" spans="1:12" s="9" customFormat="1">
      <c r="A52" s="116" t="s">
        <v>39</v>
      </c>
      <c r="B52" s="117"/>
      <c r="C52" s="202"/>
      <c r="D52" s="42">
        <f>SUM(D51:D51)</f>
        <v>8.3333333333333329E-2</v>
      </c>
      <c r="E52" s="18">
        <f>SUM(E51:E51)</f>
        <v>80.430000000000007</v>
      </c>
    </row>
    <row r="53" spans="1:12" s="9" customFormat="1">
      <c r="A53" s="21" t="s">
        <v>5</v>
      </c>
      <c r="B53" s="137" t="s">
        <v>40</v>
      </c>
      <c r="C53" s="138"/>
      <c r="D53" s="41">
        <f>+D48</f>
        <v>0.3680000000000001</v>
      </c>
      <c r="E53" s="13">
        <f>TRUNC(+E52*D53,2)</f>
        <v>29.59</v>
      </c>
    </row>
    <row r="54" spans="1:12" s="9" customFormat="1">
      <c r="A54" s="116" t="s">
        <v>35</v>
      </c>
      <c r="B54" s="117"/>
      <c r="C54" s="202"/>
      <c r="D54" s="43"/>
      <c r="E54" s="18">
        <f>+E53+E52</f>
        <v>110.02000000000001</v>
      </c>
    </row>
    <row r="55" spans="1:12" s="9" customFormat="1">
      <c r="A55" s="126" t="s">
        <v>41</v>
      </c>
      <c r="B55" s="127"/>
      <c r="C55" s="127"/>
      <c r="D55" s="127"/>
      <c r="E55" s="128"/>
    </row>
    <row r="56" spans="1:12" s="9" customFormat="1">
      <c r="A56" s="33" t="s">
        <v>42</v>
      </c>
      <c r="B56" s="119" t="s">
        <v>43</v>
      </c>
      <c r="C56" s="120"/>
      <c r="D56" s="121"/>
      <c r="E56" s="5" t="s">
        <v>13</v>
      </c>
    </row>
    <row r="57" spans="1:12" s="9" customFormat="1">
      <c r="A57" s="21" t="s">
        <v>1</v>
      </c>
      <c r="B57" s="137" t="s">
        <v>44</v>
      </c>
      <c r="C57" s="138"/>
      <c r="D57" s="111">
        <f>((38.05%*1.96%*47.81*61%)*3%)/1</f>
        <v>6.5250007493999991E-3</v>
      </c>
      <c r="E57" s="13">
        <f>TRUNC(+D57*$E$23,2)</f>
        <v>6.29</v>
      </c>
      <c r="L57" s="44"/>
    </row>
    <row r="58" spans="1:12" s="9" customFormat="1">
      <c r="A58" s="21" t="s">
        <v>3</v>
      </c>
      <c r="B58" s="137" t="s">
        <v>45</v>
      </c>
      <c r="C58" s="138"/>
      <c r="D58" s="34">
        <f>D48</f>
        <v>0.3680000000000001</v>
      </c>
      <c r="E58" s="13">
        <f>ROUND(+D58*E57,2)</f>
        <v>2.31</v>
      </c>
      <c r="F58" s="45"/>
      <c r="L58" s="44"/>
    </row>
    <row r="59" spans="1:12" s="9" customFormat="1">
      <c r="A59" s="116" t="s">
        <v>35</v>
      </c>
      <c r="B59" s="117"/>
      <c r="C59" s="117"/>
      <c r="D59" s="43"/>
      <c r="E59" s="18">
        <f>SUM(E57:E58)</f>
        <v>8.6</v>
      </c>
      <c r="F59" s="46"/>
      <c r="L59" s="44"/>
    </row>
    <row r="60" spans="1:12" s="9" customFormat="1">
      <c r="A60" s="126" t="s">
        <v>46</v>
      </c>
      <c r="B60" s="127"/>
      <c r="C60" s="127"/>
      <c r="D60" s="127"/>
      <c r="E60" s="128"/>
      <c r="F60" s="47"/>
      <c r="L60" s="44"/>
    </row>
    <row r="61" spans="1:12" s="9" customFormat="1">
      <c r="A61" s="33" t="s">
        <v>47</v>
      </c>
      <c r="B61" s="119" t="s">
        <v>48</v>
      </c>
      <c r="C61" s="120"/>
      <c r="D61" s="121"/>
      <c r="E61" s="5" t="s">
        <v>13</v>
      </c>
      <c r="L61" s="48"/>
    </row>
    <row r="62" spans="1:12" s="9" customFormat="1">
      <c r="A62" s="49" t="s">
        <v>1</v>
      </c>
      <c r="B62" s="135" t="s">
        <v>49</v>
      </c>
      <c r="C62" s="136"/>
      <c r="D62" s="50">
        <f>((1/12)*0.05)</f>
        <v>4.1666666666666666E-3</v>
      </c>
      <c r="E62" s="87">
        <f>TRUNC(+$E$23*D62,2)</f>
        <v>4.0199999999999996</v>
      </c>
      <c r="F62" s="46"/>
    </row>
    <row r="63" spans="1:12" s="9" customFormat="1">
      <c r="A63" s="49" t="s">
        <v>3</v>
      </c>
      <c r="B63" s="135" t="s">
        <v>98</v>
      </c>
      <c r="C63" s="136"/>
      <c r="D63" s="50">
        <f>+D45</f>
        <v>0.08</v>
      </c>
      <c r="E63" s="87">
        <f>TRUNC(+E62*D63,2)</f>
        <v>0.32</v>
      </c>
    </row>
    <row r="64" spans="1:12" s="9" customFormat="1" ht="15" customHeight="1">
      <c r="A64" s="49" t="s">
        <v>5</v>
      </c>
      <c r="B64" s="135" t="s">
        <v>104</v>
      </c>
      <c r="C64" s="136"/>
      <c r="D64" s="50">
        <f>(0.08*0.5*0.05)</f>
        <v>2E-3</v>
      </c>
      <c r="E64" s="87">
        <f>TRUNC(+$E$23*D64,2)</f>
        <v>1.93</v>
      </c>
    </row>
    <row r="65" spans="1:6" s="9" customFormat="1">
      <c r="A65" s="49" t="s">
        <v>7</v>
      </c>
      <c r="B65" s="188" t="s">
        <v>50</v>
      </c>
      <c r="C65" s="189"/>
      <c r="D65" s="50">
        <f>((7/30)/12)</f>
        <v>1.9444444444444445E-2</v>
      </c>
      <c r="E65" s="87">
        <f>TRUNC(+D65*$E$23,2)</f>
        <v>18.760000000000002</v>
      </c>
    </row>
    <row r="66" spans="1:6" s="9" customFormat="1" ht="15" customHeight="1">
      <c r="A66" s="49" t="s">
        <v>20</v>
      </c>
      <c r="B66" s="135" t="s">
        <v>99</v>
      </c>
      <c r="C66" s="136"/>
      <c r="D66" s="50">
        <f>+D48</f>
        <v>0.3680000000000001</v>
      </c>
      <c r="E66" s="87">
        <f>TRUNC(+E65*D66,2)</f>
        <v>6.9</v>
      </c>
    </row>
    <row r="67" spans="1:6" s="9" customFormat="1" ht="15" customHeight="1">
      <c r="A67" s="49" t="s">
        <v>21</v>
      </c>
      <c r="B67" s="135" t="s">
        <v>105</v>
      </c>
      <c r="C67" s="136"/>
      <c r="D67" s="50">
        <f>(0.08*0.5)</f>
        <v>0.04</v>
      </c>
      <c r="E67" s="87">
        <f>TRUNC(+E23*D67,2)</f>
        <v>38.61</v>
      </c>
    </row>
    <row r="68" spans="1:6" s="9" customFormat="1">
      <c r="A68" s="210" t="s">
        <v>35</v>
      </c>
      <c r="B68" s="211"/>
      <c r="C68" s="211"/>
      <c r="D68" s="51"/>
      <c r="E68" s="88">
        <f>SUM(E62:E67)</f>
        <v>70.539999999999992</v>
      </c>
    </row>
    <row r="69" spans="1:6" s="9" customFormat="1">
      <c r="A69" s="126" t="s">
        <v>51</v>
      </c>
      <c r="B69" s="127"/>
      <c r="C69" s="127"/>
      <c r="D69" s="127"/>
      <c r="E69" s="128"/>
    </row>
    <row r="70" spans="1:6" s="9" customFormat="1">
      <c r="A70" s="33" t="s">
        <v>52</v>
      </c>
      <c r="B70" s="207" t="s">
        <v>53</v>
      </c>
      <c r="C70" s="208"/>
      <c r="D70" s="209"/>
      <c r="E70" s="5" t="s">
        <v>13</v>
      </c>
    </row>
    <row r="71" spans="1:6" s="9" customFormat="1" ht="16.5" customHeight="1">
      <c r="A71" s="21" t="s">
        <v>1</v>
      </c>
      <c r="B71" s="137" t="s">
        <v>54</v>
      </c>
      <c r="C71" s="138"/>
      <c r="D71" s="34">
        <f>(((1+1/3)/12))</f>
        <v>0.1111111111111111</v>
      </c>
      <c r="E71" s="13">
        <f t="shared" ref="E71:E76" si="2">TRUNC(+D71*$E$23,2)</f>
        <v>107.25</v>
      </c>
      <c r="F71" s="36"/>
    </row>
    <row r="72" spans="1:6" s="9" customFormat="1">
      <c r="A72" s="21" t="s">
        <v>3</v>
      </c>
      <c r="B72" s="137" t="s">
        <v>55</v>
      </c>
      <c r="C72" s="138"/>
      <c r="D72" s="41">
        <v>1.66E-2</v>
      </c>
      <c r="E72" s="13">
        <f t="shared" si="2"/>
        <v>16.02</v>
      </c>
    </row>
    <row r="73" spans="1:6" s="9" customFormat="1">
      <c r="A73" s="21" t="s">
        <v>5</v>
      </c>
      <c r="B73" s="137" t="s">
        <v>56</v>
      </c>
      <c r="C73" s="138"/>
      <c r="D73" s="41">
        <v>2.0000000000000001E-4</v>
      </c>
      <c r="E73" s="13">
        <f t="shared" si="2"/>
        <v>0.19</v>
      </c>
      <c r="F73" s="52"/>
    </row>
    <row r="74" spans="1:6" s="9" customFormat="1">
      <c r="A74" s="21" t="s">
        <v>7</v>
      </c>
      <c r="B74" s="139" t="s">
        <v>57</v>
      </c>
      <c r="C74" s="140"/>
      <c r="D74" s="34">
        <v>2.8E-3</v>
      </c>
      <c r="E74" s="13">
        <f t="shared" si="2"/>
        <v>2.7</v>
      </c>
    </row>
    <row r="75" spans="1:6" s="9" customFormat="1">
      <c r="A75" s="21" t="s">
        <v>20</v>
      </c>
      <c r="B75" s="137" t="s">
        <v>58</v>
      </c>
      <c r="C75" s="138"/>
      <c r="D75" s="112">
        <v>2.9999999999999997E-4</v>
      </c>
      <c r="E75" s="13">
        <f t="shared" si="2"/>
        <v>0.28000000000000003</v>
      </c>
    </row>
    <row r="76" spans="1:6" s="9" customFormat="1">
      <c r="A76" s="21" t="s">
        <v>21</v>
      </c>
      <c r="B76" s="137" t="s">
        <v>23</v>
      </c>
      <c r="C76" s="138"/>
      <c r="D76" s="34">
        <v>0</v>
      </c>
      <c r="E76" s="13">
        <f t="shared" si="2"/>
        <v>0</v>
      </c>
      <c r="F76" s="52"/>
    </row>
    <row r="77" spans="1:6" s="9" customFormat="1">
      <c r="A77" s="116" t="s">
        <v>39</v>
      </c>
      <c r="B77" s="117"/>
      <c r="C77" s="118"/>
      <c r="D77" s="40"/>
      <c r="E77" s="18">
        <f>SUM(E71:E76)</f>
        <v>126.44</v>
      </c>
    </row>
    <row r="78" spans="1:6" s="9" customFormat="1" ht="30">
      <c r="A78" s="21" t="s">
        <v>22</v>
      </c>
      <c r="B78" s="16" t="s">
        <v>59</v>
      </c>
      <c r="C78" s="53"/>
      <c r="D78" s="41">
        <f>+D48</f>
        <v>0.3680000000000001</v>
      </c>
      <c r="E78" s="13">
        <f>TRUNC(+E77*D78,2)</f>
        <v>46.52</v>
      </c>
      <c r="F78" s="52"/>
    </row>
    <row r="79" spans="1:6" s="9" customFormat="1">
      <c r="A79" s="116" t="s">
        <v>35</v>
      </c>
      <c r="B79" s="117"/>
      <c r="C79" s="202"/>
      <c r="D79" s="54"/>
      <c r="E79" s="18">
        <f>SUM(E77:E78)</f>
        <v>172.96</v>
      </c>
    </row>
    <row r="80" spans="1:6" s="9" customFormat="1">
      <c r="A80" s="183" t="s">
        <v>60</v>
      </c>
      <c r="B80" s="184"/>
      <c r="C80" s="184"/>
      <c r="D80" s="184"/>
      <c r="E80" s="185"/>
    </row>
    <row r="81" spans="1:5" s="9" customFormat="1">
      <c r="A81" s="10">
        <v>4</v>
      </c>
      <c r="B81" s="119" t="s">
        <v>61</v>
      </c>
      <c r="C81" s="120"/>
      <c r="D81" s="121"/>
      <c r="E81" s="5" t="s">
        <v>13</v>
      </c>
    </row>
    <row r="82" spans="1:5" s="9" customFormat="1" ht="30" customHeight="1">
      <c r="A82" s="21" t="s">
        <v>32</v>
      </c>
      <c r="B82" s="132" t="s">
        <v>62</v>
      </c>
      <c r="C82" s="133"/>
      <c r="D82" s="134"/>
      <c r="E82" s="13">
        <f>+E48</f>
        <v>355.19</v>
      </c>
    </row>
    <row r="83" spans="1:5" s="9" customFormat="1">
      <c r="A83" s="21" t="s">
        <v>37</v>
      </c>
      <c r="B83" s="132" t="s">
        <v>63</v>
      </c>
      <c r="C83" s="133"/>
      <c r="D83" s="134"/>
      <c r="E83" s="13">
        <f>+E54</f>
        <v>110.02000000000001</v>
      </c>
    </row>
    <row r="84" spans="1:5" s="9" customFormat="1">
      <c r="A84" s="21" t="s">
        <v>42</v>
      </c>
      <c r="B84" s="132" t="s">
        <v>44</v>
      </c>
      <c r="C84" s="133"/>
      <c r="D84" s="134"/>
      <c r="E84" s="13">
        <f>+E59</f>
        <v>8.6</v>
      </c>
    </row>
    <row r="85" spans="1:5" s="9" customFormat="1">
      <c r="A85" s="21" t="s">
        <v>47</v>
      </c>
      <c r="B85" s="132" t="s">
        <v>64</v>
      </c>
      <c r="C85" s="133"/>
      <c r="D85" s="134"/>
      <c r="E85" s="13">
        <f>E68</f>
        <v>70.539999999999992</v>
      </c>
    </row>
    <row r="86" spans="1:5" s="9" customFormat="1">
      <c r="A86" s="21" t="s">
        <v>52</v>
      </c>
      <c r="B86" s="132" t="s">
        <v>65</v>
      </c>
      <c r="C86" s="133"/>
      <c r="D86" s="134"/>
      <c r="E86" s="13">
        <f>+E79</f>
        <v>172.96</v>
      </c>
    </row>
    <row r="87" spans="1:5" s="9" customFormat="1">
      <c r="A87" s="21" t="s">
        <v>66</v>
      </c>
      <c r="B87" s="132" t="s">
        <v>23</v>
      </c>
      <c r="C87" s="133"/>
      <c r="D87" s="134"/>
      <c r="E87" s="13">
        <f t="shared" ref="E87" si="3">+$E$23*D87</f>
        <v>0</v>
      </c>
    </row>
    <row r="88" spans="1:5" s="19" customFormat="1" ht="15" customHeight="1">
      <c r="A88" s="186" t="s">
        <v>67</v>
      </c>
      <c r="B88" s="187"/>
      <c r="C88" s="187"/>
      <c r="D88" s="190"/>
      <c r="E88" s="18">
        <f>SUM(E82:E87)</f>
        <v>717.31000000000006</v>
      </c>
    </row>
    <row r="89" spans="1:5" s="19" customFormat="1" ht="29.25" customHeight="1">
      <c r="A89" s="186" t="s">
        <v>68</v>
      </c>
      <c r="B89" s="187"/>
      <c r="C89" s="187"/>
      <c r="D89" s="55"/>
      <c r="E89" s="18">
        <f>+E23+E31+E36+E88</f>
        <v>2002.87</v>
      </c>
    </row>
    <row r="90" spans="1:5" s="9" customFormat="1">
      <c r="A90" s="126" t="s">
        <v>69</v>
      </c>
      <c r="B90" s="127"/>
      <c r="C90" s="127" t="s">
        <v>70</v>
      </c>
      <c r="D90" s="128" t="s">
        <v>71</v>
      </c>
      <c r="E90" s="8"/>
    </row>
    <row r="91" spans="1:5" s="9" customFormat="1">
      <c r="A91" s="10">
        <v>5</v>
      </c>
      <c r="B91" s="119" t="s">
        <v>72</v>
      </c>
      <c r="C91" s="120"/>
      <c r="D91" s="121"/>
      <c r="E91" s="56" t="s">
        <v>13</v>
      </c>
    </row>
    <row r="92" spans="1:5" s="9" customFormat="1">
      <c r="A92" s="108" t="s">
        <v>1</v>
      </c>
      <c r="B92" s="57" t="s">
        <v>73</v>
      </c>
      <c r="C92" s="194">
        <v>0</v>
      </c>
      <c r="D92" s="195"/>
      <c r="E92" s="13">
        <f>+E89*C92</f>
        <v>0</v>
      </c>
    </row>
    <row r="93" spans="1:5" s="9" customFormat="1">
      <c r="A93" s="108" t="s">
        <v>3</v>
      </c>
      <c r="B93" s="57" t="s">
        <v>74</v>
      </c>
      <c r="C93" s="194">
        <v>0</v>
      </c>
      <c r="D93" s="195"/>
      <c r="E93" s="13">
        <f>C93*(+E89+E92)</f>
        <v>0</v>
      </c>
    </row>
    <row r="94" spans="1:5" s="9" customFormat="1" ht="27" customHeight="1">
      <c r="A94" s="196" t="s">
        <v>5</v>
      </c>
      <c r="B94" s="215" t="s">
        <v>94</v>
      </c>
      <c r="C94" s="216"/>
      <c r="D94" s="25">
        <f>+(100-8.65)/100</f>
        <v>0.91349999999999998</v>
      </c>
      <c r="E94" s="17">
        <f>+E89+E92+E93</f>
        <v>2002.87</v>
      </c>
    </row>
    <row r="95" spans="1:5" s="9" customFormat="1">
      <c r="A95" s="196"/>
      <c r="B95" s="109" t="s">
        <v>75</v>
      </c>
      <c r="E95" s="89">
        <f>+E94/D94</f>
        <v>2192.5232621784344</v>
      </c>
    </row>
    <row r="96" spans="1:5" s="9" customFormat="1">
      <c r="A96" s="196"/>
      <c r="B96" s="58" t="s">
        <v>76</v>
      </c>
      <c r="C96" s="59"/>
      <c r="D96" s="60"/>
      <c r="E96" s="13"/>
    </row>
    <row r="97" spans="1:6" s="9" customFormat="1">
      <c r="A97" s="196"/>
      <c r="B97" s="61" t="s">
        <v>101</v>
      </c>
      <c r="C97" s="62"/>
      <c r="D97" s="78">
        <v>6.4999999999999997E-3</v>
      </c>
      <c r="E97" s="13">
        <f>+E95*D97</f>
        <v>14.251401204159823</v>
      </c>
      <c r="F97" s="52"/>
    </row>
    <row r="98" spans="1:6" s="9" customFormat="1">
      <c r="A98" s="196"/>
      <c r="B98" s="61" t="s">
        <v>102</v>
      </c>
      <c r="C98" s="62"/>
      <c r="D98" s="78">
        <v>0.03</v>
      </c>
      <c r="E98" s="13">
        <f>+E95*D98</f>
        <v>65.775697865353024</v>
      </c>
    </row>
    <row r="99" spans="1:6" s="9" customFormat="1">
      <c r="A99" s="196"/>
      <c r="B99" s="63" t="s">
        <v>77</v>
      </c>
      <c r="C99" s="64"/>
      <c r="D99" s="65"/>
      <c r="E99" s="13"/>
    </row>
    <row r="100" spans="1:6" s="9" customFormat="1">
      <c r="A100" s="196"/>
      <c r="B100" s="63" t="s">
        <v>78</v>
      </c>
      <c r="C100" s="64"/>
      <c r="D100" s="66"/>
      <c r="E100" s="13"/>
    </row>
    <row r="101" spans="1:6" s="9" customFormat="1" ht="15.75" thickBot="1">
      <c r="A101" s="197"/>
      <c r="B101" s="67" t="s">
        <v>103</v>
      </c>
      <c r="C101" s="68"/>
      <c r="D101" s="79">
        <v>0.05</v>
      </c>
      <c r="E101" s="90">
        <f>+E95*D101</f>
        <v>109.62616310892173</v>
      </c>
    </row>
    <row r="102" spans="1:6" s="9" customFormat="1" ht="15.75" thickBot="1">
      <c r="A102" s="69"/>
      <c r="B102" s="70" t="s">
        <v>79</v>
      </c>
      <c r="C102" s="70"/>
      <c r="D102" s="71">
        <f>SUM(D97:D101)</f>
        <v>8.6499999999999994E-2</v>
      </c>
      <c r="E102" s="91">
        <f>SUM(E97:E101)</f>
        <v>189.65326217843457</v>
      </c>
    </row>
    <row r="103" spans="1:6" s="19" customFormat="1">
      <c r="A103" s="191" t="s">
        <v>80</v>
      </c>
      <c r="B103" s="192"/>
      <c r="C103" s="192"/>
      <c r="D103" s="193"/>
      <c r="E103" s="92">
        <f>+E92+E93+E102</f>
        <v>189.65326217843457</v>
      </c>
    </row>
    <row r="104" spans="1:6" s="9" customFormat="1">
      <c r="A104" s="186" t="s">
        <v>81</v>
      </c>
      <c r="B104" s="187"/>
      <c r="C104" s="187"/>
      <c r="D104" s="190"/>
      <c r="E104" s="72" t="s">
        <v>13</v>
      </c>
    </row>
    <row r="105" spans="1:6" s="9" customFormat="1">
      <c r="A105" s="108" t="s">
        <v>1</v>
      </c>
      <c r="B105" s="212" t="s">
        <v>82</v>
      </c>
      <c r="C105" s="213"/>
      <c r="D105" s="214"/>
      <c r="E105" s="13">
        <f>+E23</f>
        <v>965.25</v>
      </c>
    </row>
    <row r="106" spans="1:6" s="9" customFormat="1">
      <c r="A106" s="108" t="s">
        <v>3</v>
      </c>
      <c r="B106" s="212" t="s">
        <v>83</v>
      </c>
      <c r="C106" s="213"/>
      <c r="D106" s="214"/>
      <c r="E106" s="13">
        <f>+E31</f>
        <v>320.31</v>
      </c>
    </row>
    <row r="107" spans="1:6" s="9" customFormat="1">
      <c r="A107" s="108" t="s">
        <v>5</v>
      </c>
      <c r="B107" s="212" t="s">
        <v>84</v>
      </c>
      <c r="C107" s="213"/>
      <c r="D107" s="214"/>
      <c r="E107" s="13">
        <f>+E36</f>
        <v>0</v>
      </c>
    </row>
    <row r="108" spans="1:6" s="9" customFormat="1">
      <c r="A108" s="108" t="s">
        <v>7</v>
      </c>
      <c r="B108" s="212" t="s">
        <v>85</v>
      </c>
      <c r="C108" s="213"/>
      <c r="D108" s="214"/>
      <c r="E108" s="13">
        <f>+E88</f>
        <v>717.31000000000006</v>
      </c>
    </row>
    <row r="109" spans="1:6" s="9" customFormat="1">
      <c r="A109" s="116" t="s">
        <v>86</v>
      </c>
      <c r="B109" s="117"/>
      <c r="C109" s="202"/>
      <c r="D109" s="73"/>
      <c r="E109" s="18">
        <f>SUM(E105:E108)</f>
        <v>2002.87</v>
      </c>
    </row>
    <row r="110" spans="1:6" s="9" customFormat="1">
      <c r="A110" s="108" t="s">
        <v>20</v>
      </c>
      <c r="B110" s="212" t="s">
        <v>87</v>
      </c>
      <c r="C110" s="213"/>
      <c r="D110" s="214"/>
      <c r="E110" s="13">
        <f>+E103</f>
        <v>189.65326217843457</v>
      </c>
    </row>
    <row r="111" spans="1:6" s="19" customFormat="1" ht="15.75">
      <c r="A111" s="204" t="s">
        <v>88</v>
      </c>
      <c r="B111" s="205"/>
      <c r="C111" s="205"/>
      <c r="D111" s="206"/>
      <c r="E111" s="93">
        <f>+E109+E110</f>
        <v>2192.5232621784344</v>
      </c>
    </row>
    <row r="112" spans="1:6">
      <c r="A112" s="74" t="s">
        <v>89</v>
      </c>
      <c r="E112" s="77">
        <f>+E111/E105</f>
        <v>2.2714563710732292</v>
      </c>
    </row>
  </sheetData>
  <mergeCells count="97">
    <mergeCell ref="A111:D111"/>
    <mergeCell ref="C93:D93"/>
    <mergeCell ref="A94:A101"/>
    <mergeCell ref="B94:C94"/>
    <mergeCell ref="A103:D103"/>
    <mergeCell ref="A104:D104"/>
    <mergeCell ref="B105:D105"/>
    <mergeCell ref="B106:D106"/>
    <mergeCell ref="B107:D107"/>
    <mergeCell ref="B108:D108"/>
    <mergeCell ref="A109:C109"/>
    <mergeCell ref="B110:D110"/>
    <mergeCell ref="C92:D92"/>
    <mergeCell ref="B81:D81"/>
    <mergeCell ref="B82:D82"/>
    <mergeCell ref="B83:D83"/>
    <mergeCell ref="B84:D84"/>
    <mergeCell ref="B85:D85"/>
    <mergeCell ref="B86:D86"/>
    <mergeCell ref="B87:D87"/>
    <mergeCell ref="A88:D88"/>
    <mergeCell ref="A89:C89"/>
    <mergeCell ref="A90:D90"/>
    <mergeCell ref="B91:D91"/>
    <mergeCell ref="A80:E80"/>
    <mergeCell ref="A68:C68"/>
    <mergeCell ref="A69:E69"/>
    <mergeCell ref="B70:D70"/>
    <mergeCell ref="B71:C71"/>
    <mergeCell ref="B72:C72"/>
    <mergeCell ref="B73:C73"/>
    <mergeCell ref="B74:C74"/>
    <mergeCell ref="B75:C75"/>
    <mergeCell ref="B76:C76"/>
    <mergeCell ref="A77:C77"/>
    <mergeCell ref="A79:C79"/>
    <mergeCell ref="B67:C67"/>
    <mergeCell ref="B56:D56"/>
    <mergeCell ref="B57:C57"/>
    <mergeCell ref="B58:C58"/>
    <mergeCell ref="A59:C59"/>
    <mergeCell ref="A60:E60"/>
    <mergeCell ref="B61:D61"/>
    <mergeCell ref="B62:C62"/>
    <mergeCell ref="B63:C63"/>
    <mergeCell ref="B64:C64"/>
    <mergeCell ref="B65:C65"/>
    <mergeCell ref="B66:C66"/>
    <mergeCell ref="A55:E55"/>
    <mergeCell ref="B44:C44"/>
    <mergeCell ref="B45:C45"/>
    <mergeCell ref="B46:C46"/>
    <mergeCell ref="B47:C47"/>
    <mergeCell ref="A48:C48"/>
    <mergeCell ref="A49:E49"/>
    <mergeCell ref="B50:D50"/>
    <mergeCell ref="B51:C51"/>
    <mergeCell ref="A52:C52"/>
    <mergeCell ref="B53:C53"/>
    <mergeCell ref="A54:C54"/>
    <mergeCell ref="B43:C43"/>
    <mergeCell ref="A23:D23"/>
    <mergeCell ref="A24:D24"/>
    <mergeCell ref="A31:D31"/>
    <mergeCell ref="A32:E32"/>
    <mergeCell ref="A36:D36"/>
    <mergeCell ref="A37:E37"/>
    <mergeCell ref="A38:E38"/>
    <mergeCell ref="B39:C39"/>
    <mergeCell ref="B40:C40"/>
    <mergeCell ref="B41:C41"/>
    <mergeCell ref="B42:C42"/>
    <mergeCell ref="C22:D22"/>
    <mergeCell ref="C16:E16"/>
    <mergeCell ref="C17:E17"/>
    <mergeCell ref="C18:E18"/>
    <mergeCell ref="A19:D19"/>
    <mergeCell ref="B20:D20"/>
    <mergeCell ref="C21:D21"/>
    <mergeCell ref="A14:D14"/>
    <mergeCell ref="C15:E15"/>
    <mergeCell ref="C6:E6"/>
    <mergeCell ref="C7:E7"/>
    <mergeCell ref="C8:E8"/>
    <mergeCell ref="A9:E9"/>
    <mergeCell ref="A10:B10"/>
    <mergeCell ref="C10:E10"/>
    <mergeCell ref="C5:E5"/>
    <mergeCell ref="A11:B11"/>
    <mergeCell ref="C11:E11"/>
    <mergeCell ref="A12:E12"/>
    <mergeCell ref="A13:E13"/>
    <mergeCell ref="A2:C2"/>
    <mergeCell ref="D2:E2"/>
    <mergeCell ref="A3:C3"/>
    <mergeCell ref="D3:E3"/>
    <mergeCell ref="A4:E4"/>
  </mergeCells>
  <printOptions horizontalCentered="1"/>
  <pageMargins left="3.937007874015748E-2" right="3.937007874015748E-2" top="0.15748031496062992" bottom="0.15748031496062992" header="0.31496062992125984" footer="0"/>
  <pageSetup paperSize="9" scale="58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12"/>
  <sheetViews>
    <sheetView showGridLines="0" topLeftCell="A64" zoomScale="90" zoomScaleNormal="90" zoomScaleSheetLayoutView="145" zoomScalePageLayoutView="55" workbookViewId="0">
      <pane xSplit="1" topLeftCell="B1" activePane="topRight" state="frozen"/>
      <selection activeCell="A10" sqref="A10"/>
      <selection pane="topRight" sqref="A1:XFD1048576"/>
    </sheetView>
  </sheetViews>
  <sheetFormatPr defaultRowHeight="15"/>
  <cols>
    <col min="1" max="1" width="9.140625" style="74" customWidth="1"/>
    <col min="2" max="2" width="45.7109375" style="75" bestFit="1" customWidth="1"/>
    <col min="3" max="3" width="24.28515625" style="75" customWidth="1"/>
    <col min="4" max="4" width="14.5703125" style="76" customWidth="1"/>
    <col min="5" max="5" width="16.28515625" style="77" customWidth="1"/>
    <col min="6" max="6" width="31.85546875" style="1" customWidth="1"/>
    <col min="7" max="7" width="5.5703125" style="1" customWidth="1"/>
    <col min="8" max="8" width="11.140625" style="1" hidden="1" customWidth="1"/>
    <col min="9" max="9" width="22" style="1" customWidth="1"/>
    <col min="10" max="16384" width="9.140625" style="1"/>
  </cols>
  <sheetData>
    <row r="2" spans="1:5" ht="15" customHeight="1">
      <c r="A2" s="141" t="s">
        <v>90</v>
      </c>
      <c r="B2" s="142"/>
      <c r="C2" s="143"/>
      <c r="D2" s="144"/>
      <c r="E2" s="145"/>
    </row>
    <row r="3" spans="1:5" ht="15" customHeight="1">
      <c r="A3" s="141" t="s">
        <v>91</v>
      </c>
      <c r="B3" s="142"/>
      <c r="C3" s="143"/>
      <c r="D3" s="217"/>
      <c r="E3" s="145"/>
    </row>
    <row r="4" spans="1:5" s="2" customFormat="1">
      <c r="A4" s="150" t="s">
        <v>0</v>
      </c>
      <c r="B4" s="151"/>
      <c r="C4" s="151"/>
      <c r="D4" s="151"/>
      <c r="E4" s="152"/>
    </row>
    <row r="5" spans="1:5">
      <c r="A5" s="3" t="s">
        <v>1</v>
      </c>
      <c r="B5" s="4" t="s">
        <v>2</v>
      </c>
      <c r="C5" s="153">
        <v>42583</v>
      </c>
      <c r="D5" s="154"/>
      <c r="E5" s="155"/>
    </row>
    <row r="6" spans="1:5">
      <c r="A6" s="3" t="s">
        <v>3</v>
      </c>
      <c r="B6" s="4" t="s">
        <v>4</v>
      </c>
      <c r="C6" s="156" t="s">
        <v>148</v>
      </c>
      <c r="D6" s="157"/>
      <c r="E6" s="158"/>
    </row>
    <row r="7" spans="1:5" ht="30">
      <c r="A7" s="3" t="s">
        <v>5</v>
      </c>
      <c r="B7" s="4" t="s">
        <v>6</v>
      </c>
      <c r="C7" s="153" t="str">
        <f>'Recife SEDE'!C7:E7</f>
        <v>2016/2016 - Registro no MTE: PE000143/2016</v>
      </c>
      <c r="D7" s="154"/>
      <c r="E7" s="155"/>
    </row>
    <row r="8" spans="1:5">
      <c r="A8" s="3" t="s">
        <v>7</v>
      </c>
      <c r="B8" s="4" t="s">
        <v>92</v>
      </c>
      <c r="C8" s="156" t="s">
        <v>96</v>
      </c>
      <c r="D8" s="157"/>
      <c r="E8" s="158"/>
    </row>
    <row r="9" spans="1:5" s="2" customFormat="1">
      <c r="A9" s="159" t="s">
        <v>8</v>
      </c>
      <c r="B9" s="160"/>
      <c r="C9" s="160"/>
      <c r="D9" s="160"/>
      <c r="E9" s="161"/>
    </row>
    <row r="10" spans="1:5" ht="15" customHeight="1">
      <c r="A10" s="162" t="s">
        <v>9</v>
      </c>
      <c r="B10" s="163"/>
      <c r="C10" s="147" t="s">
        <v>109</v>
      </c>
      <c r="D10" s="148"/>
      <c r="E10" s="149"/>
    </row>
    <row r="11" spans="1:5">
      <c r="A11" s="154" t="s">
        <v>140</v>
      </c>
      <c r="B11" s="155"/>
      <c r="C11" s="164">
        <v>1</v>
      </c>
      <c r="D11" s="164"/>
      <c r="E11" s="164"/>
    </row>
    <row r="12" spans="1:5" s="2" customFormat="1">
      <c r="A12" s="165" t="s">
        <v>10</v>
      </c>
      <c r="B12" s="166"/>
      <c r="C12" s="166"/>
      <c r="D12" s="166"/>
      <c r="E12" s="167"/>
    </row>
    <row r="13" spans="1:5" s="2" customFormat="1">
      <c r="A13" s="168" t="s">
        <v>11</v>
      </c>
      <c r="B13" s="169"/>
      <c r="C13" s="169"/>
      <c r="D13" s="169"/>
      <c r="E13" s="170"/>
    </row>
    <row r="14" spans="1:5" ht="15" customHeight="1">
      <c r="A14" s="174" t="s">
        <v>12</v>
      </c>
      <c r="B14" s="175"/>
      <c r="C14" s="175"/>
      <c r="D14" s="176"/>
      <c r="E14" s="5" t="s">
        <v>13</v>
      </c>
    </row>
    <row r="15" spans="1:5" ht="30">
      <c r="A15" s="3">
        <v>1</v>
      </c>
      <c r="B15" s="6" t="s">
        <v>93</v>
      </c>
      <c r="C15" s="177" t="s">
        <v>140</v>
      </c>
      <c r="D15" s="178"/>
      <c r="E15" s="179"/>
    </row>
    <row r="16" spans="1:5">
      <c r="A16" s="3">
        <v>2</v>
      </c>
      <c r="B16" s="6" t="s">
        <v>14</v>
      </c>
      <c r="C16" s="171">
        <v>965.25</v>
      </c>
      <c r="D16" s="172"/>
      <c r="E16" s="173"/>
    </row>
    <row r="17" spans="1:9" ht="30">
      <c r="A17" s="3">
        <v>3</v>
      </c>
      <c r="B17" s="6" t="s">
        <v>15</v>
      </c>
      <c r="C17" s="177" t="s">
        <v>140</v>
      </c>
      <c r="D17" s="178"/>
      <c r="E17" s="179"/>
    </row>
    <row r="18" spans="1:9">
      <c r="A18" s="3">
        <v>4</v>
      </c>
      <c r="B18" s="7" t="s">
        <v>16</v>
      </c>
      <c r="C18" s="180" t="s">
        <v>108</v>
      </c>
      <c r="D18" s="181"/>
      <c r="E18" s="182"/>
    </row>
    <row r="19" spans="1:9" s="9" customFormat="1">
      <c r="A19" s="183" t="s">
        <v>17</v>
      </c>
      <c r="B19" s="184"/>
      <c r="C19" s="184"/>
      <c r="D19" s="185"/>
      <c r="E19" s="8"/>
    </row>
    <row r="20" spans="1:9" s="9" customFormat="1">
      <c r="A20" s="10">
        <v>1</v>
      </c>
      <c r="B20" s="119" t="s">
        <v>18</v>
      </c>
      <c r="C20" s="120"/>
      <c r="D20" s="121"/>
      <c r="E20" s="5" t="s">
        <v>13</v>
      </c>
    </row>
    <row r="21" spans="1:9">
      <c r="A21" s="11" t="s">
        <v>1</v>
      </c>
      <c r="B21" s="12" t="s">
        <v>19</v>
      </c>
      <c r="C21" s="122"/>
      <c r="D21" s="123"/>
      <c r="E21" s="13">
        <f>+C16</f>
        <v>965.25</v>
      </c>
      <c r="H21" s="1">
        <f>+$E$21*2</f>
        <v>1930.5</v>
      </c>
    </row>
    <row r="22" spans="1:9">
      <c r="A22" s="11" t="s">
        <v>3</v>
      </c>
      <c r="B22" s="16" t="s">
        <v>23</v>
      </c>
      <c r="C22" s="124"/>
      <c r="D22" s="125"/>
      <c r="E22" s="14">
        <f>C22*$C$16</f>
        <v>0</v>
      </c>
      <c r="F22" s="15"/>
      <c r="H22" s="1">
        <f t="shared" ref="H22" si="0">+$E$21*2</f>
        <v>1930.5</v>
      </c>
    </row>
    <row r="23" spans="1:9" s="19" customFormat="1" ht="15" customHeight="1">
      <c r="A23" s="113" t="s">
        <v>24</v>
      </c>
      <c r="B23" s="114"/>
      <c r="C23" s="114"/>
      <c r="D23" s="115"/>
      <c r="E23" s="18">
        <f>TRUNC(SUM(E21:E22),2)</f>
        <v>965.25</v>
      </c>
      <c r="F23" s="15"/>
    </row>
    <row r="24" spans="1:9" s="9" customFormat="1">
      <c r="A24" s="126" t="s">
        <v>95</v>
      </c>
      <c r="B24" s="127"/>
      <c r="C24" s="127"/>
      <c r="D24" s="128"/>
      <c r="E24" s="8"/>
      <c r="F24" s="15"/>
    </row>
    <row r="25" spans="1:9">
      <c r="A25" s="10">
        <v>2</v>
      </c>
      <c r="B25" s="20" t="s">
        <v>25</v>
      </c>
      <c r="C25" s="20" t="s">
        <v>110</v>
      </c>
      <c r="D25" s="20" t="s">
        <v>111</v>
      </c>
      <c r="E25" s="5" t="s">
        <v>13</v>
      </c>
      <c r="F25" s="15"/>
    </row>
    <row r="26" spans="1:9">
      <c r="A26" s="21" t="s">
        <v>1</v>
      </c>
      <c r="B26" s="16" t="s">
        <v>100</v>
      </c>
      <c r="C26" s="3">
        <v>44</v>
      </c>
      <c r="D26" s="100">
        <v>2.8</v>
      </c>
      <c r="E26" s="22">
        <f>+TRUNC((C26*D26)-(C16*0.06),2)</f>
        <v>65.28</v>
      </c>
      <c r="F26" s="15"/>
      <c r="I26" s="15"/>
    </row>
    <row r="27" spans="1:9">
      <c r="A27" s="21" t="s">
        <v>3</v>
      </c>
      <c r="B27" s="16" t="s">
        <v>133</v>
      </c>
      <c r="C27" s="3">
        <v>22</v>
      </c>
      <c r="D27" s="85">
        <v>6.66</v>
      </c>
      <c r="E27" s="22">
        <f>TRUNC((C27*D27)*0.8,2)</f>
        <v>117.21</v>
      </c>
      <c r="F27" s="23"/>
      <c r="I27" s="15"/>
    </row>
    <row r="28" spans="1:9">
      <c r="A28" s="21" t="s">
        <v>5</v>
      </c>
      <c r="B28" s="16" t="s">
        <v>132</v>
      </c>
      <c r="C28" s="3">
        <v>1</v>
      </c>
      <c r="D28" s="85">
        <v>100</v>
      </c>
      <c r="E28" s="22">
        <f>TRUNC((C28*D28),2)</f>
        <v>100</v>
      </c>
      <c r="F28" s="15"/>
      <c r="I28" s="15"/>
    </row>
    <row r="29" spans="1:9">
      <c r="A29" s="21" t="s">
        <v>7</v>
      </c>
      <c r="B29" s="16" t="s">
        <v>134</v>
      </c>
      <c r="C29" s="3">
        <v>1</v>
      </c>
      <c r="D29" s="85">
        <v>37.82</v>
      </c>
      <c r="E29" s="22">
        <f>TRUNC((C29*D29),2)</f>
        <v>37.82</v>
      </c>
      <c r="I29" s="15"/>
    </row>
    <row r="30" spans="1:9">
      <c r="A30" s="21" t="s">
        <v>20</v>
      </c>
      <c r="B30" s="16" t="s">
        <v>106</v>
      </c>
      <c r="C30" s="3">
        <v>0</v>
      </c>
      <c r="D30" s="85">
        <v>0</v>
      </c>
      <c r="E30" s="22">
        <f>TRUNC((C30*D30),2)</f>
        <v>0</v>
      </c>
      <c r="I30" s="15"/>
    </row>
    <row r="31" spans="1:9" s="19" customFormat="1" ht="15" customHeight="1">
      <c r="A31" s="113" t="s">
        <v>26</v>
      </c>
      <c r="B31" s="114"/>
      <c r="C31" s="114"/>
      <c r="D31" s="115"/>
      <c r="E31" s="18">
        <f>SUM(E26:E30)</f>
        <v>320.31</v>
      </c>
    </row>
    <row r="32" spans="1:9" s="9" customFormat="1">
      <c r="A32" s="126" t="s">
        <v>27</v>
      </c>
      <c r="B32" s="127"/>
      <c r="C32" s="127"/>
      <c r="D32" s="127"/>
      <c r="E32" s="128"/>
    </row>
    <row r="33" spans="1:10" s="9" customFormat="1">
      <c r="A33" s="10">
        <v>3</v>
      </c>
      <c r="B33" s="20" t="s">
        <v>28</v>
      </c>
      <c r="C33" s="20" t="s">
        <v>110</v>
      </c>
      <c r="D33" s="20" t="s">
        <v>111</v>
      </c>
      <c r="E33" s="5" t="s">
        <v>13</v>
      </c>
    </row>
    <row r="34" spans="1:10" s="9" customFormat="1">
      <c r="A34" s="21" t="s">
        <v>1</v>
      </c>
      <c r="B34" s="16" t="s">
        <v>167</v>
      </c>
      <c r="C34" s="24">
        <v>1</v>
      </c>
      <c r="D34" s="13">
        <f>Uniforme!G12</f>
        <v>0</v>
      </c>
      <c r="E34" s="13">
        <f>TRUNC((C34*D34),2)</f>
        <v>0</v>
      </c>
      <c r="F34" s="26"/>
    </row>
    <row r="35" spans="1:10" s="9" customFormat="1">
      <c r="A35" s="21" t="s">
        <v>3</v>
      </c>
      <c r="B35" s="16" t="s">
        <v>107</v>
      </c>
      <c r="C35" s="27">
        <v>0</v>
      </c>
      <c r="D35" s="86">
        <v>0</v>
      </c>
      <c r="E35" s="13">
        <f>TRUNC((C35*D35),2)</f>
        <v>0</v>
      </c>
    </row>
    <row r="36" spans="1:10" s="19" customFormat="1" ht="15" customHeight="1">
      <c r="A36" s="113" t="s">
        <v>29</v>
      </c>
      <c r="B36" s="114"/>
      <c r="C36" s="114"/>
      <c r="D36" s="115"/>
      <c r="E36" s="18">
        <f>SUM(E34:E35)</f>
        <v>0</v>
      </c>
      <c r="F36" s="28"/>
      <c r="H36" s="32"/>
      <c r="J36" s="30"/>
    </row>
    <row r="37" spans="1:10" s="9" customFormat="1">
      <c r="A37" s="126" t="s">
        <v>30</v>
      </c>
      <c r="B37" s="127"/>
      <c r="C37" s="127"/>
      <c r="D37" s="127"/>
      <c r="E37" s="128"/>
      <c r="F37" s="28"/>
      <c r="H37" s="29"/>
      <c r="J37" s="30"/>
    </row>
    <row r="38" spans="1:10" s="9" customFormat="1">
      <c r="A38" s="126" t="s">
        <v>31</v>
      </c>
      <c r="B38" s="127"/>
      <c r="C38" s="127"/>
      <c r="D38" s="127"/>
      <c r="E38" s="128"/>
      <c r="F38" s="28"/>
      <c r="H38" s="29"/>
      <c r="J38" s="30"/>
    </row>
    <row r="39" spans="1:10" s="9" customFormat="1">
      <c r="A39" s="33" t="s">
        <v>32</v>
      </c>
      <c r="B39" s="119" t="s">
        <v>33</v>
      </c>
      <c r="C39" s="203"/>
      <c r="D39" s="20" t="s">
        <v>130</v>
      </c>
      <c r="E39" s="5" t="s">
        <v>13</v>
      </c>
      <c r="F39" s="28"/>
      <c r="H39" s="29"/>
      <c r="J39" s="30"/>
    </row>
    <row r="40" spans="1:10" s="9" customFormat="1">
      <c r="A40" s="21" t="s">
        <v>1</v>
      </c>
      <c r="B40" s="129" t="s">
        <v>127</v>
      </c>
      <c r="C40" s="130"/>
      <c r="D40" s="34">
        <v>0.2</v>
      </c>
      <c r="E40" s="17">
        <f>TRUNC($E$23*D40,2)</f>
        <v>193.05</v>
      </c>
      <c r="F40" s="28"/>
      <c r="H40" s="29"/>
      <c r="J40" s="30"/>
    </row>
    <row r="41" spans="1:10" s="9" customFormat="1">
      <c r="A41" s="21" t="s">
        <v>3</v>
      </c>
      <c r="B41" s="129" t="s">
        <v>128</v>
      </c>
      <c r="C41" s="130"/>
      <c r="D41" s="34">
        <v>1.4999999999999999E-2</v>
      </c>
      <c r="E41" s="17">
        <f t="shared" ref="E41:E47" si="1">TRUNC($E$23*D41,2)</f>
        <v>14.47</v>
      </c>
      <c r="F41" s="28"/>
      <c r="H41" s="29"/>
      <c r="J41" s="30"/>
    </row>
    <row r="42" spans="1:10" s="9" customFormat="1">
      <c r="A42" s="21" t="s">
        <v>5</v>
      </c>
      <c r="B42" s="129" t="s">
        <v>125</v>
      </c>
      <c r="C42" s="130"/>
      <c r="D42" s="34">
        <v>0.01</v>
      </c>
      <c r="E42" s="17">
        <f t="shared" si="1"/>
        <v>9.65</v>
      </c>
      <c r="F42" s="28"/>
      <c r="H42" s="35"/>
      <c r="J42" s="36"/>
    </row>
    <row r="43" spans="1:10" s="9" customFormat="1">
      <c r="A43" s="21" t="s">
        <v>7</v>
      </c>
      <c r="B43" s="131" t="s">
        <v>165</v>
      </c>
      <c r="C43" s="130"/>
      <c r="D43" s="110">
        <v>2E-3</v>
      </c>
      <c r="E43" s="17">
        <f t="shared" si="1"/>
        <v>1.93</v>
      </c>
      <c r="F43" s="28"/>
    </row>
    <row r="44" spans="1:10" s="9" customFormat="1">
      <c r="A44" s="21" t="s">
        <v>20</v>
      </c>
      <c r="B44" s="129" t="s">
        <v>126</v>
      </c>
      <c r="C44" s="130"/>
      <c r="D44" s="34">
        <v>2.5000000000000001E-2</v>
      </c>
      <c r="E44" s="17">
        <f t="shared" si="1"/>
        <v>24.13</v>
      </c>
      <c r="F44" s="37"/>
      <c r="H44" s="38"/>
      <c r="I44" s="39"/>
      <c r="J44" s="38"/>
    </row>
    <row r="45" spans="1:10" s="9" customFormat="1">
      <c r="A45" s="21" t="s">
        <v>21</v>
      </c>
      <c r="B45" s="129" t="s">
        <v>129</v>
      </c>
      <c r="C45" s="130"/>
      <c r="D45" s="34">
        <v>0.08</v>
      </c>
      <c r="E45" s="17">
        <f t="shared" si="1"/>
        <v>77.22</v>
      </c>
      <c r="F45" s="28"/>
    </row>
    <row r="46" spans="1:10" s="9" customFormat="1" ht="39.75" customHeight="1">
      <c r="A46" s="21" t="s">
        <v>22</v>
      </c>
      <c r="B46" s="198" t="s">
        <v>169</v>
      </c>
      <c r="C46" s="199"/>
      <c r="D46" s="110">
        <v>0.03</v>
      </c>
      <c r="E46" s="17">
        <f t="shared" si="1"/>
        <v>28.95</v>
      </c>
      <c r="F46" s="28"/>
    </row>
    <row r="47" spans="1:10" s="9" customFormat="1">
      <c r="A47" s="21" t="s">
        <v>34</v>
      </c>
      <c r="B47" s="200" t="s">
        <v>168</v>
      </c>
      <c r="C47" s="201"/>
      <c r="D47" s="110">
        <v>6.0000000000000001E-3</v>
      </c>
      <c r="E47" s="17">
        <f t="shared" si="1"/>
        <v>5.79</v>
      </c>
      <c r="F47" s="28"/>
    </row>
    <row r="48" spans="1:10" s="9" customFormat="1">
      <c r="A48" s="116" t="s">
        <v>35</v>
      </c>
      <c r="B48" s="117"/>
      <c r="C48" s="118"/>
      <c r="D48" s="40">
        <f>SUM(D40:D47)</f>
        <v>0.3680000000000001</v>
      </c>
      <c r="E48" s="18">
        <f>TRUNC(SUM(E40:E47),2)</f>
        <v>355.19</v>
      </c>
    </row>
    <row r="49" spans="1:12" s="9" customFormat="1">
      <c r="A49" s="126" t="s">
        <v>36</v>
      </c>
      <c r="B49" s="127"/>
      <c r="C49" s="127"/>
      <c r="D49" s="127"/>
      <c r="E49" s="128"/>
    </row>
    <row r="50" spans="1:12" s="9" customFormat="1">
      <c r="A50" s="33" t="s">
        <v>37</v>
      </c>
      <c r="B50" s="119" t="s">
        <v>97</v>
      </c>
      <c r="C50" s="120"/>
      <c r="D50" s="121"/>
      <c r="E50" s="5" t="s">
        <v>13</v>
      </c>
    </row>
    <row r="51" spans="1:12" s="9" customFormat="1">
      <c r="A51" s="21" t="s">
        <v>1</v>
      </c>
      <c r="B51" s="129" t="s">
        <v>38</v>
      </c>
      <c r="C51" s="130"/>
      <c r="D51" s="41">
        <f>1/12</f>
        <v>8.3333333333333329E-2</v>
      </c>
      <c r="E51" s="13">
        <f>TRUNC(+$E$23*D51,2)</f>
        <v>80.430000000000007</v>
      </c>
    </row>
    <row r="52" spans="1:12" s="9" customFormat="1">
      <c r="A52" s="116" t="s">
        <v>39</v>
      </c>
      <c r="B52" s="117"/>
      <c r="C52" s="202"/>
      <c r="D52" s="42">
        <f>SUM(D51:D51)</f>
        <v>8.3333333333333329E-2</v>
      </c>
      <c r="E52" s="18">
        <f>SUM(E51:E51)</f>
        <v>80.430000000000007</v>
      </c>
    </row>
    <row r="53" spans="1:12" s="9" customFormat="1">
      <c r="A53" s="21" t="s">
        <v>5</v>
      </c>
      <c r="B53" s="137" t="s">
        <v>40</v>
      </c>
      <c r="C53" s="138"/>
      <c r="D53" s="41">
        <f>+D48</f>
        <v>0.3680000000000001</v>
      </c>
      <c r="E53" s="13">
        <f>TRUNC(+E52*D53,2)</f>
        <v>29.59</v>
      </c>
    </row>
    <row r="54" spans="1:12" s="9" customFormat="1">
      <c r="A54" s="116" t="s">
        <v>35</v>
      </c>
      <c r="B54" s="117"/>
      <c r="C54" s="202"/>
      <c r="D54" s="43"/>
      <c r="E54" s="18">
        <f>+E53+E52</f>
        <v>110.02000000000001</v>
      </c>
    </row>
    <row r="55" spans="1:12" s="9" customFormat="1">
      <c r="A55" s="126" t="s">
        <v>41</v>
      </c>
      <c r="B55" s="127"/>
      <c r="C55" s="127"/>
      <c r="D55" s="127"/>
      <c r="E55" s="128"/>
    </row>
    <row r="56" spans="1:12" s="9" customFormat="1">
      <c r="A56" s="33" t="s">
        <v>42</v>
      </c>
      <c r="B56" s="119" t="s">
        <v>43</v>
      </c>
      <c r="C56" s="120"/>
      <c r="D56" s="121"/>
      <c r="E56" s="5" t="s">
        <v>13</v>
      </c>
    </row>
    <row r="57" spans="1:12" s="9" customFormat="1">
      <c r="A57" s="21" t="s">
        <v>1</v>
      </c>
      <c r="B57" s="137" t="s">
        <v>44</v>
      </c>
      <c r="C57" s="138"/>
      <c r="D57" s="111">
        <f>((38.05%*1.96%*47.81*61%)*3%)/1</f>
        <v>6.5250007493999991E-3</v>
      </c>
      <c r="E57" s="13">
        <f>TRUNC(+D57*$E$23,2)</f>
        <v>6.29</v>
      </c>
      <c r="L57" s="44"/>
    </row>
    <row r="58" spans="1:12" s="9" customFormat="1">
      <c r="A58" s="21" t="s">
        <v>3</v>
      </c>
      <c r="B58" s="137" t="s">
        <v>45</v>
      </c>
      <c r="C58" s="138"/>
      <c r="D58" s="34">
        <f>D48</f>
        <v>0.3680000000000001</v>
      </c>
      <c r="E58" s="13">
        <f>ROUND(+D58*E57,2)</f>
        <v>2.31</v>
      </c>
      <c r="F58" s="45"/>
      <c r="L58" s="44"/>
    </row>
    <row r="59" spans="1:12" s="9" customFormat="1">
      <c r="A59" s="116" t="s">
        <v>35</v>
      </c>
      <c r="B59" s="117"/>
      <c r="C59" s="117"/>
      <c r="D59" s="43"/>
      <c r="E59" s="18">
        <f>SUM(E57:E58)</f>
        <v>8.6</v>
      </c>
      <c r="F59" s="46"/>
      <c r="L59" s="44"/>
    </row>
    <row r="60" spans="1:12" s="9" customFormat="1">
      <c r="A60" s="126" t="s">
        <v>46</v>
      </c>
      <c r="B60" s="127"/>
      <c r="C60" s="127"/>
      <c r="D60" s="127"/>
      <c r="E60" s="128"/>
      <c r="F60" s="47"/>
      <c r="L60" s="44"/>
    </row>
    <row r="61" spans="1:12" s="9" customFormat="1">
      <c r="A61" s="33" t="s">
        <v>47</v>
      </c>
      <c r="B61" s="119" t="s">
        <v>48</v>
      </c>
      <c r="C61" s="120"/>
      <c r="D61" s="121"/>
      <c r="E61" s="5" t="s">
        <v>13</v>
      </c>
      <c r="L61" s="48"/>
    </row>
    <row r="62" spans="1:12" s="9" customFormat="1">
      <c r="A62" s="49" t="s">
        <v>1</v>
      </c>
      <c r="B62" s="135" t="s">
        <v>49</v>
      </c>
      <c r="C62" s="136"/>
      <c r="D62" s="50">
        <f>((1/12)*0.05)</f>
        <v>4.1666666666666666E-3</v>
      </c>
      <c r="E62" s="87">
        <f>TRUNC(+$E$23*D62,2)</f>
        <v>4.0199999999999996</v>
      </c>
      <c r="F62" s="46"/>
    </row>
    <row r="63" spans="1:12" s="9" customFormat="1">
      <c r="A63" s="49" t="s">
        <v>3</v>
      </c>
      <c r="B63" s="135" t="s">
        <v>98</v>
      </c>
      <c r="C63" s="136"/>
      <c r="D63" s="50">
        <f>+D45</f>
        <v>0.08</v>
      </c>
      <c r="E63" s="87">
        <f>TRUNC(+E62*D63,2)</f>
        <v>0.32</v>
      </c>
    </row>
    <row r="64" spans="1:12" s="9" customFormat="1" ht="15" customHeight="1">
      <c r="A64" s="49" t="s">
        <v>5</v>
      </c>
      <c r="B64" s="135" t="s">
        <v>104</v>
      </c>
      <c r="C64" s="136"/>
      <c r="D64" s="50">
        <f>(0.08*0.5*0.05)</f>
        <v>2E-3</v>
      </c>
      <c r="E64" s="87">
        <f>TRUNC(+$E$23*D64,2)</f>
        <v>1.93</v>
      </c>
    </row>
    <row r="65" spans="1:6" s="9" customFormat="1">
      <c r="A65" s="49" t="s">
        <v>7</v>
      </c>
      <c r="B65" s="188" t="s">
        <v>50</v>
      </c>
      <c r="C65" s="189"/>
      <c r="D65" s="50">
        <f>((7/30)/12)</f>
        <v>1.9444444444444445E-2</v>
      </c>
      <c r="E65" s="87">
        <f>TRUNC(+D65*$E$23,2)</f>
        <v>18.760000000000002</v>
      </c>
    </row>
    <row r="66" spans="1:6" s="9" customFormat="1" ht="15" customHeight="1">
      <c r="A66" s="49" t="s">
        <v>20</v>
      </c>
      <c r="B66" s="135" t="s">
        <v>99</v>
      </c>
      <c r="C66" s="136"/>
      <c r="D66" s="50">
        <f>+D48</f>
        <v>0.3680000000000001</v>
      </c>
      <c r="E66" s="87">
        <f>TRUNC(+E65*D66,2)</f>
        <v>6.9</v>
      </c>
    </row>
    <row r="67" spans="1:6" s="9" customFormat="1" ht="15" customHeight="1">
      <c r="A67" s="49" t="s">
        <v>21</v>
      </c>
      <c r="B67" s="135" t="s">
        <v>105</v>
      </c>
      <c r="C67" s="136"/>
      <c r="D67" s="50">
        <f>(0.08*0.5)</f>
        <v>0.04</v>
      </c>
      <c r="E67" s="87">
        <f>TRUNC(+E23*D67,2)</f>
        <v>38.61</v>
      </c>
    </row>
    <row r="68" spans="1:6" s="9" customFormat="1">
      <c r="A68" s="210" t="s">
        <v>35</v>
      </c>
      <c r="B68" s="211"/>
      <c r="C68" s="211"/>
      <c r="D68" s="51"/>
      <c r="E68" s="88">
        <f>SUM(E62:E67)</f>
        <v>70.539999999999992</v>
      </c>
    </row>
    <row r="69" spans="1:6" s="9" customFormat="1">
      <c r="A69" s="126" t="s">
        <v>51</v>
      </c>
      <c r="B69" s="127"/>
      <c r="C69" s="127"/>
      <c r="D69" s="127"/>
      <c r="E69" s="128"/>
    </row>
    <row r="70" spans="1:6" s="9" customFormat="1">
      <c r="A70" s="33" t="s">
        <v>52</v>
      </c>
      <c r="B70" s="207" t="s">
        <v>53</v>
      </c>
      <c r="C70" s="208"/>
      <c r="D70" s="209"/>
      <c r="E70" s="5" t="s">
        <v>13</v>
      </c>
    </row>
    <row r="71" spans="1:6" s="9" customFormat="1" ht="16.5" customHeight="1">
      <c r="A71" s="21" t="s">
        <v>1</v>
      </c>
      <c r="B71" s="137" t="s">
        <v>54</v>
      </c>
      <c r="C71" s="138"/>
      <c r="D71" s="34">
        <f>(((1+1/3)/12))</f>
        <v>0.1111111111111111</v>
      </c>
      <c r="E71" s="13">
        <f t="shared" ref="E71:E76" si="2">TRUNC(+D71*$E$23,2)</f>
        <v>107.25</v>
      </c>
      <c r="F71" s="36"/>
    </row>
    <row r="72" spans="1:6" s="9" customFormat="1">
      <c r="A72" s="21" t="s">
        <v>3</v>
      </c>
      <c r="B72" s="137" t="s">
        <v>55</v>
      </c>
      <c r="C72" s="138"/>
      <c r="D72" s="41">
        <v>1.66E-2</v>
      </c>
      <c r="E72" s="13">
        <f t="shared" si="2"/>
        <v>16.02</v>
      </c>
    </row>
    <row r="73" spans="1:6" s="9" customFormat="1">
      <c r="A73" s="21" t="s">
        <v>5</v>
      </c>
      <c r="B73" s="137" t="s">
        <v>56</v>
      </c>
      <c r="C73" s="138"/>
      <c r="D73" s="41">
        <v>2.0000000000000001E-4</v>
      </c>
      <c r="E73" s="13">
        <f t="shared" si="2"/>
        <v>0.19</v>
      </c>
      <c r="F73" s="52"/>
    </row>
    <row r="74" spans="1:6" s="9" customFormat="1">
      <c r="A74" s="21" t="s">
        <v>7</v>
      </c>
      <c r="B74" s="139" t="s">
        <v>57</v>
      </c>
      <c r="C74" s="140"/>
      <c r="D74" s="34">
        <v>2.8E-3</v>
      </c>
      <c r="E74" s="13">
        <f t="shared" si="2"/>
        <v>2.7</v>
      </c>
    </row>
    <row r="75" spans="1:6" s="9" customFormat="1">
      <c r="A75" s="21" t="s">
        <v>20</v>
      </c>
      <c r="B75" s="137" t="s">
        <v>58</v>
      </c>
      <c r="C75" s="138"/>
      <c r="D75" s="112">
        <v>2.9999999999999997E-4</v>
      </c>
      <c r="E75" s="13">
        <f t="shared" si="2"/>
        <v>0.28000000000000003</v>
      </c>
    </row>
    <row r="76" spans="1:6" s="9" customFormat="1">
      <c r="A76" s="21" t="s">
        <v>21</v>
      </c>
      <c r="B76" s="137" t="s">
        <v>23</v>
      </c>
      <c r="C76" s="138"/>
      <c r="D76" s="34">
        <v>0</v>
      </c>
      <c r="E76" s="13">
        <f t="shared" si="2"/>
        <v>0</v>
      </c>
      <c r="F76" s="52"/>
    </row>
    <row r="77" spans="1:6" s="9" customFormat="1">
      <c r="A77" s="116" t="s">
        <v>39</v>
      </c>
      <c r="B77" s="117"/>
      <c r="C77" s="118"/>
      <c r="D77" s="40"/>
      <c r="E77" s="18">
        <f>SUM(E71:E76)</f>
        <v>126.44</v>
      </c>
    </row>
    <row r="78" spans="1:6" s="9" customFormat="1" ht="30">
      <c r="A78" s="21" t="s">
        <v>22</v>
      </c>
      <c r="B78" s="16" t="s">
        <v>59</v>
      </c>
      <c r="C78" s="53"/>
      <c r="D78" s="41">
        <f>+D48</f>
        <v>0.3680000000000001</v>
      </c>
      <c r="E78" s="13">
        <f>TRUNC(+E77*D78,2)</f>
        <v>46.52</v>
      </c>
      <c r="F78" s="52"/>
    </row>
    <row r="79" spans="1:6" s="9" customFormat="1">
      <c r="A79" s="116" t="s">
        <v>35</v>
      </c>
      <c r="B79" s="117"/>
      <c r="C79" s="202"/>
      <c r="D79" s="54"/>
      <c r="E79" s="18">
        <f>SUM(E77:E78)</f>
        <v>172.96</v>
      </c>
    </row>
    <row r="80" spans="1:6" s="9" customFormat="1">
      <c r="A80" s="183" t="s">
        <v>60</v>
      </c>
      <c r="B80" s="184"/>
      <c r="C80" s="184"/>
      <c r="D80" s="184"/>
      <c r="E80" s="185"/>
    </row>
    <row r="81" spans="1:5" s="9" customFormat="1">
      <c r="A81" s="10">
        <v>4</v>
      </c>
      <c r="B81" s="119" t="s">
        <v>61</v>
      </c>
      <c r="C81" s="120"/>
      <c r="D81" s="121"/>
      <c r="E81" s="5" t="s">
        <v>13</v>
      </c>
    </row>
    <row r="82" spans="1:5" s="9" customFormat="1" ht="30" customHeight="1">
      <c r="A82" s="21" t="s">
        <v>32</v>
      </c>
      <c r="B82" s="132" t="s">
        <v>62</v>
      </c>
      <c r="C82" s="133"/>
      <c r="D82" s="134"/>
      <c r="E82" s="13">
        <f>+E48</f>
        <v>355.19</v>
      </c>
    </row>
    <row r="83" spans="1:5" s="9" customFormat="1">
      <c r="A83" s="21" t="s">
        <v>37</v>
      </c>
      <c r="B83" s="132" t="s">
        <v>63</v>
      </c>
      <c r="C83" s="133"/>
      <c r="D83" s="134"/>
      <c r="E83" s="13">
        <f>+E54</f>
        <v>110.02000000000001</v>
      </c>
    </row>
    <row r="84" spans="1:5" s="9" customFormat="1">
      <c r="A84" s="21" t="s">
        <v>42</v>
      </c>
      <c r="B84" s="132" t="s">
        <v>44</v>
      </c>
      <c r="C84" s="133"/>
      <c r="D84" s="134"/>
      <c r="E84" s="13">
        <f>+E59</f>
        <v>8.6</v>
      </c>
    </row>
    <row r="85" spans="1:5" s="9" customFormat="1">
      <c r="A85" s="21" t="s">
        <v>47</v>
      </c>
      <c r="B85" s="132" t="s">
        <v>64</v>
      </c>
      <c r="C85" s="133"/>
      <c r="D85" s="134"/>
      <c r="E85" s="13">
        <f>E68</f>
        <v>70.539999999999992</v>
      </c>
    </row>
    <row r="86" spans="1:5" s="9" customFormat="1">
      <c r="A86" s="21" t="s">
        <v>52</v>
      </c>
      <c r="B86" s="132" t="s">
        <v>65</v>
      </c>
      <c r="C86" s="133"/>
      <c r="D86" s="134"/>
      <c r="E86" s="13">
        <f>+E79</f>
        <v>172.96</v>
      </c>
    </row>
    <row r="87" spans="1:5" s="9" customFormat="1">
      <c r="A87" s="21" t="s">
        <v>66</v>
      </c>
      <c r="B87" s="132" t="s">
        <v>23</v>
      </c>
      <c r="C87" s="133"/>
      <c r="D87" s="134"/>
      <c r="E87" s="13">
        <f t="shared" ref="E87" si="3">+$E$23*D87</f>
        <v>0</v>
      </c>
    </row>
    <row r="88" spans="1:5" s="19" customFormat="1" ht="15" customHeight="1">
      <c r="A88" s="186" t="s">
        <v>67</v>
      </c>
      <c r="B88" s="187"/>
      <c r="C88" s="187"/>
      <c r="D88" s="190"/>
      <c r="E88" s="18">
        <f>SUM(E82:E87)</f>
        <v>717.31000000000006</v>
      </c>
    </row>
    <row r="89" spans="1:5" s="19" customFormat="1" ht="29.25" customHeight="1">
      <c r="A89" s="186" t="s">
        <v>68</v>
      </c>
      <c r="B89" s="187"/>
      <c r="C89" s="187"/>
      <c r="D89" s="55"/>
      <c r="E89" s="18">
        <f>+E23+E31+E36+E88</f>
        <v>2002.87</v>
      </c>
    </row>
    <row r="90" spans="1:5" s="9" customFormat="1">
      <c r="A90" s="126" t="s">
        <v>69</v>
      </c>
      <c r="B90" s="127"/>
      <c r="C90" s="127" t="s">
        <v>70</v>
      </c>
      <c r="D90" s="128" t="s">
        <v>71</v>
      </c>
      <c r="E90" s="8"/>
    </row>
    <row r="91" spans="1:5" s="9" customFormat="1">
      <c r="A91" s="10">
        <v>5</v>
      </c>
      <c r="B91" s="119" t="s">
        <v>72</v>
      </c>
      <c r="C91" s="120"/>
      <c r="D91" s="121"/>
      <c r="E91" s="56" t="s">
        <v>13</v>
      </c>
    </row>
    <row r="92" spans="1:5" s="9" customFormat="1">
      <c r="A92" s="108" t="s">
        <v>1</v>
      </c>
      <c r="B92" s="57" t="s">
        <v>73</v>
      </c>
      <c r="C92" s="194">
        <v>0</v>
      </c>
      <c r="D92" s="195"/>
      <c r="E92" s="13">
        <f>+E89*C92</f>
        <v>0</v>
      </c>
    </row>
    <row r="93" spans="1:5" s="9" customFormat="1">
      <c r="A93" s="108" t="s">
        <v>3</v>
      </c>
      <c r="B93" s="57" t="s">
        <v>74</v>
      </c>
      <c r="C93" s="194">
        <v>0</v>
      </c>
      <c r="D93" s="195"/>
      <c r="E93" s="13">
        <f>C93*(+E89+E92)</f>
        <v>0</v>
      </c>
    </row>
    <row r="94" spans="1:5" s="9" customFormat="1" ht="27" customHeight="1">
      <c r="A94" s="196" t="s">
        <v>5</v>
      </c>
      <c r="B94" s="215" t="s">
        <v>94</v>
      </c>
      <c r="C94" s="216"/>
      <c r="D94" s="25">
        <f>+(100-8.65)/100</f>
        <v>0.91349999999999998</v>
      </c>
      <c r="E94" s="17">
        <f>+E89+E92+E93</f>
        <v>2002.87</v>
      </c>
    </row>
    <row r="95" spans="1:5" s="9" customFormat="1">
      <c r="A95" s="196"/>
      <c r="B95" s="109" t="s">
        <v>75</v>
      </c>
      <c r="E95" s="89">
        <f>+E94/D94</f>
        <v>2192.5232621784344</v>
      </c>
    </row>
    <row r="96" spans="1:5" s="9" customFormat="1">
      <c r="A96" s="196"/>
      <c r="B96" s="58" t="s">
        <v>76</v>
      </c>
      <c r="C96" s="59"/>
      <c r="D96" s="60"/>
      <c r="E96" s="13"/>
    </row>
    <row r="97" spans="1:6" s="9" customFormat="1">
      <c r="A97" s="196"/>
      <c r="B97" s="61" t="s">
        <v>101</v>
      </c>
      <c r="C97" s="62"/>
      <c r="D97" s="78">
        <v>6.4999999999999997E-3</v>
      </c>
      <c r="E97" s="13">
        <f>+E95*D97</f>
        <v>14.251401204159823</v>
      </c>
      <c r="F97" s="52"/>
    </row>
    <row r="98" spans="1:6" s="9" customFormat="1">
      <c r="A98" s="196"/>
      <c r="B98" s="61" t="s">
        <v>102</v>
      </c>
      <c r="C98" s="62"/>
      <c r="D98" s="78">
        <v>0.03</v>
      </c>
      <c r="E98" s="13">
        <f>+E95*D98</f>
        <v>65.775697865353024</v>
      </c>
    </row>
    <row r="99" spans="1:6" s="9" customFormat="1">
      <c r="A99" s="196"/>
      <c r="B99" s="63" t="s">
        <v>77</v>
      </c>
      <c r="C99" s="64"/>
      <c r="D99" s="65"/>
      <c r="E99" s="13"/>
    </row>
    <row r="100" spans="1:6" s="9" customFormat="1">
      <c r="A100" s="196"/>
      <c r="B100" s="63" t="s">
        <v>78</v>
      </c>
      <c r="C100" s="64"/>
      <c r="D100" s="66"/>
      <c r="E100" s="13"/>
    </row>
    <row r="101" spans="1:6" s="9" customFormat="1" ht="15.75" thickBot="1">
      <c r="A101" s="197"/>
      <c r="B101" s="67" t="s">
        <v>103</v>
      </c>
      <c r="C101" s="68"/>
      <c r="D101" s="79">
        <v>0.05</v>
      </c>
      <c r="E101" s="90">
        <f>+E95*D101</f>
        <v>109.62616310892173</v>
      </c>
    </row>
    <row r="102" spans="1:6" s="9" customFormat="1" ht="15.75" thickBot="1">
      <c r="A102" s="69"/>
      <c r="B102" s="70" t="s">
        <v>79</v>
      </c>
      <c r="C102" s="70"/>
      <c r="D102" s="71">
        <f>SUM(D97:D101)</f>
        <v>8.6499999999999994E-2</v>
      </c>
      <c r="E102" s="91">
        <f>SUM(E97:E101)</f>
        <v>189.65326217843457</v>
      </c>
    </row>
    <row r="103" spans="1:6" s="19" customFormat="1">
      <c r="A103" s="191" t="s">
        <v>80</v>
      </c>
      <c r="B103" s="192"/>
      <c r="C103" s="192"/>
      <c r="D103" s="193"/>
      <c r="E103" s="92">
        <f>+E92+E93+E102</f>
        <v>189.65326217843457</v>
      </c>
    </row>
    <row r="104" spans="1:6" s="9" customFormat="1">
      <c r="A104" s="186" t="s">
        <v>81</v>
      </c>
      <c r="B104" s="187"/>
      <c r="C104" s="187"/>
      <c r="D104" s="190"/>
      <c r="E104" s="72" t="s">
        <v>13</v>
      </c>
    </row>
    <row r="105" spans="1:6" s="9" customFormat="1">
      <c r="A105" s="108" t="s">
        <v>1</v>
      </c>
      <c r="B105" s="212" t="s">
        <v>82</v>
      </c>
      <c r="C105" s="213"/>
      <c r="D105" s="214"/>
      <c r="E105" s="13">
        <f>+E23</f>
        <v>965.25</v>
      </c>
    </row>
    <row r="106" spans="1:6" s="9" customFormat="1">
      <c r="A106" s="108" t="s">
        <v>3</v>
      </c>
      <c r="B106" s="212" t="s">
        <v>83</v>
      </c>
      <c r="C106" s="213"/>
      <c r="D106" s="214"/>
      <c r="E106" s="13">
        <f>+E31</f>
        <v>320.31</v>
      </c>
    </row>
    <row r="107" spans="1:6" s="9" customFormat="1">
      <c r="A107" s="108" t="s">
        <v>5</v>
      </c>
      <c r="B107" s="212" t="s">
        <v>84</v>
      </c>
      <c r="C107" s="213"/>
      <c r="D107" s="214"/>
      <c r="E107" s="13">
        <f>+E36</f>
        <v>0</v>
      </c>
    </row>
    <row r="108" spans="1:6" s="9" customFormat="1">
      <c r="A108" s="108" t="s">
        <v>7</v>
      </c>
      <c r="B108" s="212" t="s">
        <v>85</v>
      </c>
      <c r="C108" s="213"/>
      <c r="D108" s="214"/>
      <c r="E108" s="13">
        <f>+E88</f>
        <v>717.31000000000006</v>
      </c>
    </row>
    <row r="109" spans="1:6" s="9" customFormat="1">
      <c r="A109" s="116" t="s">
        <v>86</v>
      </c>
      <c r="B109" s="117"/>
      <c r="C109" s="202"/>
      <c r="D109" s="73"/>
      <c r="E109" s="18">
        <f>SUM(E105:E108)</f>
        <v>2002.87</v>
      </c>
    </row>
    <row r="110" spans="1:6" s="9" customFormat="1">
      <c r="A110" s="108" t="s">
        <v>20</v>
      </c>
      <c r="B110" s="212" t="s">
        <v>87</v>
      </c>
      <c r="C110" s="213"/>
      <c r="D110" s="214"/>
      <c r="E110" s="13">
        <f>+E103</f>
        <v>189.65326217843457</v>
      </c>
    </row>
    <row r="111" spans="1:6" s="19" customFormat="1" ht="15.75">
      <c r="A111" s="204" t="s">
        <v>88</v>
      </c>
      <c r="B111" s="205"/>
      <c r="C111" s="205"/>
      <c r="D111" s="206"/>
      <c r="E111" s="93">
        <f>+E109+E110</f>
        <v>2192.5232621784344</v>
      </c>
    </row>
    <row r="112" spans="1:6">
      <c r="A112" s="74" t="s">
        <v>89</v>
      </c>
      <c r="E112" s="77">
        <f>+E111/E105</f>
        <v>2.2714563710732292</v>
      </c>
    </row>
  </sheetData>
  <sheetProtection password="CAC1" sheet="1" objects="1" scenarios="1"/>
  <mergeCells count="97">
    <mergeCell ref="A111:D111"/>
    <mergeCell ref="C93:D93"/>
    <mergeCell ref="A94:A101"/>
    <mergeCell ref="B94:C94"/>
    <mergeCell ref="A103:D103"/>
    <mergeCell ref="A104:D104"/>
    <mergeCell ref="B105:D105"/>
    <mergeCell ref="B106:D106"/>
    <mergeCell ref="B107:D107"/>
    <mergeCell ref="B108:D108"/>
    <mergeCell ref="A109:C109"/>
    <mergeCell ref="B110:D110"/>
    <mergeCell ref="C92:D92"/>
    <mergeCell ref="B81:D81"/>
    <mergeCell ref="B82:D82"/>
    <mergeCell ref="B83:D83"/>
    <mergeCell ref="B84:D84"/>
    <mergeCell ref="B85:D85"/>
    <mergeCell ref="B86:D86"/>
    <mergeCell ref="B87:D87"/>
    <mergeCell ref="A88:D88"/>
    <mergeCell ref="A89:C89"/>
    <mergeCell ref="A90:D90"/>
    <mergeCell ref="B91:D91"/>
    <mergeCell ref="A80:E80"/>
    <mergeCell ref="A68:C68"/>
    <mergeCell ref="A69:E69"/>
    <mergeCell ref="B70:D70"/>
    <mergeCell ref="B71:C71"/>
    <mergeCell ref="B72:C72"/>
    <mergeCell ref="B73:C73"/>
    <mergeCell ref="B74:C74"/>
    <mergeCell ref="B75:C75"/>
    <mergeCell ref="B76:C76"/>
    <mergeCell ref="A77:C77"/>
    <mergeCell ref="A79:C79"/>
    <mergeCell ref="B67:C67"/>
    <mergeCell ref="B56:D56"/>
    <mergeCell ref="B57:C57"/>
    <mergeCell ref="B58:C58"/>
    <mergeCell ref="A59:C59"/>
    <mergeCell ref="A60:E60"/>
    <mergeCell ref="B61:D61"/>
    <mergeCell ref="B62:C62"/>
    <mergeCell ref="B63:C63"/>
    <mergeCell ref="B64:C64"/>
    <mergeCell ref="B65:C65"/>
    <mergeCell ref="B66:C66"/>
    <mergeCell ref="A55:E55"/>
    <mergeCell ref="B44:C44"/>
    <mergeCell ref="B45:C45"/>
    <mergeCell ref="B46:C46"/>
    <mergeCell ref="B47:C47"/>
    <mergeCell ref="A48:C48"/>
    <mergeCell ref="A49:E49"/>
    <mergeCell ref="B50:D50"/>
    <mergeCell ref="B51:C51"/>
    <mergeCell ref="A52:C52"/>
    <mergeCell ref="B53:C53"/>
    <mergeCell ref="A54:C54"/>
    <mergeCell ref="B43:C43"/>
    <mergeCell ref="A23:D23"/>
    <mergeCell ref="A24:D24"/>
    <mergeCell ref="A31:D31"/>
    <mergeCell ref="A32:E32"/>
    <mergeCell ref="A36:D36"/>
    <mergeCell ref="A37:E37"/>
    <mergeCell ref="A38:E38"/>
    <mergeCell ref="B39:C39"/>
    <mergeCell ref="B40:C40"/>
    <mergeCell ref="B41:C41"/>
    <mergeCell ref="B42:C42"/>
    <mergeCell ref="C22:D22"/>
    <mergeCell ref="C16:E16"/>
    <mergeCell ref="C17:E17"/>
    <mergeCell ref="C18:E18"/>
    <mergeCell ref="A19:D19"/>
    <mergeCell ref="B20:D20"/>
    <mergeCell ref="C21:D21"/>
    <mergeCell ref="A14:D14"/>
    <mergeCell ref="C15:E15"/>
    <mergeCell ref="C6:E6"/>
    <mergeCell ref="C7:E7"/>
    <mergeCell ref="C8:E8"/>
    <mergeCell ref="A9:E9"/>
    <mergeCell ref="A10:B10"/>
    <mergeCell ref="C10:E10"/>
    <mergeCell ref="C5:E5"/>
    <mergeCell ref="A11:B11"/>
    <mergeCell ref="C11:E11"/>
    <mergeCell ref="A12:E12"/>
    <mergeCell ref="A13:E13"/>
    <mergeCell ref="A2:C2"/>
    <mergeCell ref="D2:E2"/>
    <mergeCell ref="A3:C3"/>
    <mergeCell ref="D3:E3"/>
    <mergeCell ref="A4:E4"/>
  </mergeCells>
  <printOptions horizontalCentered="1"/>
  <pageMargins left="3.937007874015748E-2" right="3.937007874015748E-2" top="0.15748031496062992" bottom="0.15748031496062992" header="0.31496062992125984" footer="0"/>
  <pageSetup paperSize="9" scale="5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9</vt:i4>
      </vt:variant>
    </vt:vector>
  </HeadingPairs>
  <TitlesOfParts>
    <vt:vector size="20" baseType="lpstr">
      <vt:lpstr>Recife SEDE</vt:lpstr>
      <vt:lpstr>Recife CEE</vt:lpstr>
      <vt:lpstr>Cabo Sto Agostinho</vt:lpstr>
      <vt:lpstr>Goiana</vt:lpstr>
      <vt:lpstr>Caruaru</vt:lpstr>
      <vt:lpstr>Garanhuns</vt:lpstr>
      <vt:lpstr>Serra Talhada</vt:lpstr>
      <vt:lpstr>Petrolina</vt:lpstr>
      <vt:lpstr>Araripina</vt:lpstr>
      <vt:lpstr>Uniforme</vt:lpstr>
      <vt:lpstr>Resumo</vt:lpstr>
      <vt:lpstr>Araripina!Area_de_impressao</vt:lpstr>
      <vt:lpstr>'Cabo Sto Agostinho'!Area_de_impressao</vt:lpstr>
      <vt:lpstr>Caruaru!Area_de_impressao</vt:lpstr>
      <vt:lpstr>Garanhuns!Area_de_impressao</vt:lpstr>
      <vt:lpstr>Goiana!Area_de_impressao</vt:lpstr>
      <vt:lpstr>Petrolina!Area_de_impressao</vt:lpstr>
      <vt:lpstr>'Recife CEE'!Area_de_impressao</vt:lpstr>
      <vt:lpstr>'Recife SEDE'!Area_de_impressao</vt:lpstr>
      <vt:lpstr>'Serra Talhada'!Area_de_impressao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Profº Walter Salomao Gouvêa</dc:creator>
  <cp:lastModifiedBy>pe002365</cp:lastModifiedBy>
  <cp:lastPrinted>2016-08-24T18:43:29Z</cp:lastPrinted>
  <dcterms:created xsi:type="dcterms:W3CDTF">2014-04-11T01:53:38Z</dcterms:created>
  <dcterms:modified xsi:type="dcterms:W3CDTF">2016-08-24T20:12:32Z</dcterms:modified>
</cp:coreProperties>
</file>